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3.12\departamento pessoal\ATOS PREFEITURA\LICITAÇÕES 2022\Pregão Presencial\006 - Lixo\"/>
    </mc:Choice>
  </mc:AlternateContent>
  <bookViews>
    <workbookView xWindow="0" yWindow="0" windowWidth="20490" windowHeight="7650" tabRatio="802"/>
  </bookViews>
  <sheets>
    <sheet name="1. Coleta Domiciliar" sheetId="2" r:id="rId1"/>
    <sheet name="2.Encargos Sociais" sheetId="8" r:id="rId2"/>
    <sheet name="3.CAGED" sheetId="5" r:id="rId3"/>
    <sheet name="4.BDI" sheetId="4" r:id="rId4"/>
    <sheet name="5. Depreciação" sheetId="6" r:id="rId5"/>
    <sheet name="6.Remuneração de capital" sheetId="7" r:id="rId6"/>
    <sheet name="7. Dimensionamento" sheetId="9" r:id="rId7"/>
    <sheet name="8. Destino Final" sheetId="11" r:id="rId8"/>
    <sheet name="9.BDI Aterro" sheetId="12" r:id="rId9"/>
  </sheets>
  <definedNames>
    <definedName name="AbaDeprec">'5. Depreciação'!$A$1</definedName>
    <definedName name="AbaRemun">'6.Remuneração de capital'!$A$1</definedName>
    <definedName name="_xlnm.Print_Area" localSheetId="0">'1. Coleta Domiciliar'!$A$3:$F$260</definedName>
    <definedName name="_xlnm.Print_Area" localSheetId="1">'2.Encargos Sociais'!$A$1:$C$39</definedName>
    <definedName name="_xlnm.Print_Titles" localSheetId="0">'1. Coleta Domiciliar'!$1:$8</definedName>
  </definedNames>
  <calcPr calcId="162913"/>
</workbook>
</file>

<file path=xl/calcChain.xml><?xml version="1.0" encoding="utf-8"?>
<calcChain xmlns="http://schemas.openxmlformats.org/spreadsheetml/2006/main">
  <c r="C21" i="12" l="1"/>
  <c r="F14" i="12"/>
  <c r="E14" i="12"/>
  <c r="D14" i="12"/>
  <c r="E20" i="11"/>
  <c r="F21" i="11" s="1"/>
  <c r="F23" i="11" s="1"/>
  <c r="A12" i="11"/>
  <c r="A11" i="11"/>
  <c r="E11" i="11" l="1"/>
  <c r="F26" i="11"/>
  <c r="D31" i="11" l="1"/>
  <c r="E31" i="11" s="1"/>
  <c r="F32" i="11" s="1"/>
  <c r="F34" i="11" s="1"/>
  <c r="E12" i="11" s="1"/>
  <c r="E13" i="11" l="1"/>
  <c r="F11" i="11" s="1"/>
  <c r="F37" i="11"/>
  <c r="E38" i="11" s="1"/>
  <c r="F12" i="11" l="1"/>
  <c r="F13" i="11" s="1"/>
  <c r="A22" i="2" l="1"/>
  <c r="C98" i="2"/>
  <c r="E98" i="2" s="1"/>
  <c r="E99" i="2"/>
  <c r="E93" i="2"/>
  <c r="E73" i="2"/>
  <c r="E61" i="2"/>
  <c r="C130" i="2"/>
  <c r="C118" i="2"/>
  <c r="C92" i="2"/>
  <c r="C87" i="2"/>
  <c r="C86" i="2"/>
  <c r="C81" i="2"/>
  <c r="C80" i="2"/>
  <c r="A33" i="2" l="1"/>
  <c r="E218" i="2"/>
  <c r="E217" i="2"/>
  <c r="F219" i="2" l="1"/>
  <c r="F221" i="2" s="1"/>
  <c r="E33" i="2" s="1"/>
  <c r="C196" i="2" l="1"/>
  <c r="C21" i="9" l="1"/>
  <c r="C23" i="5" l="1"/>
  <c r="C164" i="2" l="1"/>
  <c r="C163" i="2"/>
  <c r="C165" i="2"/>
  <c r="A35" i="2" l="1"/>
  <c r="A34" i="2"/>
  <c r="A32" i="2"/>
  <c r="A24" i="2"/>
  <c r="A23" i="2"/>
  <c r="A16" i="2"/>
  <c r="C14" i="9" l="1"/>
  <c r="C15" i="9" l="1"/>
  <c r="C17" i="9"/>
  <c r="C22" i="9" s="1"/>
  <c r="C24" i="9" s="1"/>
  <c r="C144" i="2"/>
  <c r="C158" i="2" l="1"/>
  <c r="D183" i="2"/>
  <c r="D181" i="2"/>
  <c r="D179" i="2"/>
  <c r="D177" i="2"/>
  <c r="D124" i="2" l="1"/>
  <c r="E124" i="2" s="1"/>
  <c r="E109" i="2"/>
  <c r="E110" i="2"/>
  <c r="E111" i="2"/>
  <c r="E112" i="2"/>
  <c r="E113" i="2"/>
  <c r="E114" i="2"/>
  <c r="E115" i="2"/>
  <c r="E116" i="2"/>
  <c r="E117" i="2"/>
  <c r="E108" i="2"/>
  <c r="C198" i="2" l="1"/>
  <c r="A31" i="2"/>
  <c r="A30" i="2"/>
  <c r="A29" i="2"/>
  <c r="A28" i="2"/>
  <c r="A27" i="2"/>
  <c r="A26" i="2"/>
  <c r="A25" i="2"/>
  <c r="A21" i="2"/>
  <c r="A20" i="2"/>
  <c r="A19" i="2"/>
  <c r="A18" i="2"/>
  <c r="A17" i="2"/>
  <c r="C20" i="8"/>
  <c r="E230" i="2"/>
  <c r="E167" i="2"/>
  <c r="E159" i="2"/>
  <c r="E148" i="2"/>
  <c r="E131" i="2"/>
  <c r="E119" i="2"/>
  <c r="D152" i="2"/>
  <c r="C20" i="4"/>
  <c r="C239" i="2" s="1"/>
  <c r="F13" i="4"/>
  <c r="E13" i="4"/>
  <c r="D13" i="4"/>
  <c r="C17" i="8"/>
  <c r="C25" i="5"/>
  <c r="E65" i="2"/>
  <c r="D81" i="2" s="1"/>
  <c r="E196" i="2"/>
  <c r="C175" i="2"/>
  <c r="C177" i="2" s="1"/>
  <c r="E177" i="2" s="1"/>
  <c r="D175" i="2"/>
  <c r="D184" i="2" s="1"/>
  <c r="E141" i="2"/>
  <c r="C145" i="2"/>
  <c r="C226" i="2"/>
  <c r="C228" i="2" s="1"/>
  <c r="E228" i="2" s="1"/>
  <c r="D229" i="2" s="1"/>
  <c r="E229" i="2" s="1"/>
  <c r="A41" i="2"/>
  <c r="A42" i="2"/>
  <c r="A46" i="2"/>
  <c r="E55" i="2"/>
  <c r="D80" i="2" s="1"/>
  <c r="A86" i="2"/>
  <c r="A87" i="2"/>
  <c r="A92" i="2" s="1"/>
  <c r="D125" i="2"/>
  <c r="E125" i="2" s="1"/>
  <c r="D126" i="2"/>
  <c r="E126" i="2" s="1"/>
  <c r="D127" i="2"/>
  <c r="E127" i="2" s="1"/>
  <c r="D128" i="2"/>
  <c r="E128" i="2" s="1"/>
  <c r="D129" i="2"/>
  <c r="E129" i="2" s="1"/>
  <c r="E194" i="2"/>
  <c r="E165" i="2"/>
  <c r="E164" i="2"/>
  <c r="E207" i="2"/>
  <c r="E208" i="2"/>
  <c r="E209" i="2"/>
  <c r="D68" i="2" l="1"/>
  <c r="E68" i="2" s="1"/>
  <c r="E69" i="2" s="1"/>
  <c r="C27" i="5"/>
  <c r="C28" i="5" s="1"/>
  <c r="C26" i="5"/>
  <c r="C31" i="8" s="1"/>
  <c r="D144" i="2"/>
  <c r="E144" i="2" s="1"/>
  <c r="D163" i="2"/>
  <c r="C181" i="2"/>
  <c r="E181" i="2" s="1"/>
  <c r="C183" i="2"/>
  <c r="E183" i="2" s="1"/>
  <c r="F210" i="2"/>
  <c r="F212" i="2" s="1"/>
  <c r="E32" i="2" s="1"/>
  <c r="E87" i="2"/>
  <c r="E175" i="2"/>
  <c r="D118" i="2"/>
  <c r="E86" i="2"/>
  <c r="E43" i="2"/>
  <c r="E80" i="2"/>
  <c r="E92" i="2"/>
  <c r="D56" i="2"/>
  <c r="E56" i="2" s="1"/>
  <c r="E57" i="2" s="1"/>
  <c r="D58" i="2" s="1"/>
  <c r="C179" i="2"/>
  <c r="E179" i="2" s="1"/>
  <c r="C189" i="2"/>
  <c r="E189" i="2" s="1"/>
  <c r="F190" i="2" s="1"/>
  <c r="E30" i="2" s="1"/>
  <c r="E226" i="2"/>
  <c r="D227" i="2" s="1"/>
  <c r="E227" i="2" s="1"/>
  <c r="F230" i="2" s="1"/>
  <c r="F232" i="2" s="1"/>
  <c r="E34" i="2" s="1"/>
  <c r="E152" i="2"/>
  <c r="D197" i="2"/>
  <c r="E197" i="2" s="1"/>
  <c r="D198" i="2" s="1"/>
  <c r="E198" i="2" s="1"/>
  <c r="F199" i="2" s="1"/>
  <c r="E31" i="2" s="1"/>
  <c r="E81" i="2"/>
  <c r="D130" i="2"/>
  <c r="C30" i="8" l="1"/>
  <c r="C33" i="5"/>
  <c r="C27" i="8" s="1"/>
  <c r="C35" i="8" s="1"/>
  <c r="D145" i="2"/>
  <c r="E145" i="2" s="1"/>
  <c r="E146" i="2" s="1"/>
  <c r="E163" i="2"/>
  <c r="D166" i="2" s="1"/>
  <c r="E166" i="2" s="1"/>
  <c r="F167" i="2" s="1"/>
  <c r="E28" i="2" s="1"/>
  <c r="C154" i="2"/>
  <c r="C155" i="2" s="1"/>
  <c r="D156" i="2" s="1"/>
  <c r="E156" i="2" s="1"/>
  <c r="E157" i="2" s="1"/>
  <c r="C28" i="8"/>
  <c r="C19" i="8"/>
  <c r="C25" i="8" s="1"/>
  <c r="C34" i="8" s="1"/>
  <c r="F88" i="2"/>
  <c r="E20" i="2" s="1"/>
  <c r="F93" i="2"/>
  <c r="E21" i="2" s="1"/>
  <c r="E130" i="2"/>
  <c r="F131" i="2" s="1"/>
  <c r="E118" i="2"/>
  <c r="F119" i="2" s="1"/>
  <c r="F82" i="2"/>
  <c r="E19" i="2" s="1"/>
  <c r="F185" i="2"/>
  <c r="E29" i="2" s="1"/>
  <c r="D70" i="2"/>
  <c r="C29" i="8" l="1"/>
  <c r="C32" i="8" s="1"/>
  <c r="C36" i="8"/>
  <c r="D147" i="2"/>
  <c r="E147" i="2" s="1"/>
  <c r="F148" i="2" s="1"/>
  <c r="D158" i="2"/>
  <c r="E158" i="2" s="1"/>
  <c r="F159" i="2" s="1"/>
  <c r="F133" i="2"/>
  <c r="E23" i="2" s="1"/>
  <c r="E26" i="2" l="1"/>
  <c r="F202" i="2"/>
  <c r="E24" i="2" s="1"/>
  <c r="C37" i="8"/>
  <c r="C70" i="2" s="1"/>
  <c r="E27" i="2"/>
  <c r="E25" i="2" l="1"/>
  <c r="C58" i="2"/>
  <c r="E58" i="2" s="1"/>
  <c r="E59" i="2" s="1"/>
  <c r="D60" i="2" s="1"/>
  <c r="E60" i="2" s="1"/>
  <c r="F61" i="2" s="1"/>
  <c r="E17" i="2" s="1"/>
  <c r="E70" i="2"/>
  <c r="E71" i="2" s="1"/>
  <c r="D72" i="2" s="1"/>
  <c r="E72" i="2" s="1"/>
  <c r="F73" i="2" l="1"/>
  <c r="E18" i="2" l="1"/>
  <c r="F99" i="2" s="1"/>
  <c r="F101" i="2" l="1"/>
  <c r="E22" i="2"/>
  <c r="E16" i="2" l="1"/>
  <c r="F234" i="2"/>
  <c r="D239" i="2" s="1"/>
  <c r="E239" i="2" s="1"/>
  <c r="F240" i="2" s="1"/>
  <c r="F242" i="2" s="1"/>
  <c r="E35" i="2" s="1"/>
  <c r="F245" i="2" l="1"/>
  <c r="E250" i="2" s="1"/>
  <c r="E254" i="2" s="1"/>
  <c r="E258" i="2" s="1"/>
  <c r="E36" i="2"/>
  <c r="F33" i="2" s="1"/>
  <c r="F34" i="2" l="1"/>
  <c r="F28" i="2"/>
  <c r="F16" i="2"/>
  <c r="F32" i="2"/>
  <c r="F31" i="2"/>
  <c r="F27" i="2"/>
  <c r="F23" i="2"/>
  <c r="F30" i="2"/>
  <c r="F20" i="2"/>
  <c r="F17" i="2"/>
  <c r="F19" i="2"/>
  <c r="F21" i="2"/>
  <c r="F26" i="2"/>
  <c r="F18" i="2"/>
  <c r="F29" i="2"/>
  <c r="F24" i="2"/>
  <c r="F22" i="2"/>
  <c r="F25" i="2"/>
  <c r="F35" i="2"/>
  <c r="F36" i="2" l="1"/>
</calcChain>
</file>

<file path=xl/comments1.xml><?xml version="1.0" encoding="utf-8"?>
<comments xmlns="http://schemas.openxmlformats.org/spreadsheetml/2006/main">
  <authors>
    <author>Clauber Bridi</author>
  </authors>
  <commentList>
    <comment ref="A14" authorId="0" shapeId="0">
      <text>
        <r>
          <rPr>
            <sz val="9"/>
            <color indexed="81"/>
            <rFont val="Tahoma"/>
            <family val="2"/>
          </rPr>
          <t>Qualquer custo previsto no edital e não contemplado nesta planilha modelo deverá ser devidamente incluído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9" authorId="0" shapeId="0">
      <text>
        <r>
          <rPr>
            <b/>
            <sz val="9"/>
            <color indexed="81"/>
            <rFont val="Tahoma"/>
            <family val="2"/>
          </rPr>
          <t>Informar o fator de utilização das equipes de coleta. 
Por exemplo:
Equipes com utilização integral = 100%
Equipes com utilização parcial = n° horas trabalhadas por semana /44 horas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5" authorId="0" shapeId="0">
      <text>
        <r>
          <rPr>
            <sz val="9"/>
            <color indexed="81"/>
            <rFont val="Tahoma"/>
            <family val="2"/>
          </rPr>
          <t>Informar o Piso da categoria fixado na Convenção Coletiva</t>
        </r>
      </text>
    </comment>
    <comment ref="C58" authorId="0" shapeId="0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60" authorId="0" shapeId="0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D65" authorId="0" shapeId="0">
      <text>
        <r>
          <rPr>
            <sz val="9"/>
            <color indexed="81"/>
            <rFont val="Tahoma"/>
            <family val="2"/>
          </rPr>
          <t>Informar o Piso da categoria fixado na Convenção Coletiva</t>
        </r>
      </text>
    </comment>
    <comment ref="D66" authorId="0" shapeId="0">
      <text>
        <r>
          <rPr>
            <sz val="9"/>
            <color indexed="81"/>
            <rFont val="Tahoma"/>
            <family val="2"/>
          </rPr>
          <t>Informar o valor do salário Mínimo Nacional</t>
        </r>
      </text>
    </comment>
    <comment ref="C67" authorId="0" shapeId="0">
      <text>
        <r>
          <rPr>
            <sz val="9"/>
            <color indexed="81"/>
            <rFont val="Tahoma"/>
            <family val="2"/>
          </rPr>
          <t xml:space="preserve">Informar 1 se a base de cálculo for o Salário Mínimo Nacional; Informar 2 se a base de cálculo for o Piso da Categoria; 
</t>
        </r>
      </text>
    </comment>
    <comment ref="C68" authorId="0" shapeId="0">
      <text>
        <r>
          <rPr>
            <sz val="9"/>
            <color indexed="81"/>
            <rFont val="Tahoma"/>
            <family val="2"/>
          </rPr>
          <t>Percentual estabelecido nas Normas de Segurança de Trabalho ou pelo laudo de responsável técnico devidamente habilitado</t>
        </r>
      </text>
    </comment>
    <comment ref="C70" authorId="0" shapeId="0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72" authorId="0" shapeId="0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D78" authorId="0" shapeId="0">
      <text>
        <r>
          <rPr>
            <sz val="9"/>
            <color indexed="81"/>
            <rFont val="Tahoma"/>
            <family val="2"/>
          </rPr>
          <t>Informar o valor unitário do VT no município</t>
        </r>
      </text>
    </comment>
    <comment ref="C79" authorId="0" shapeId="0">
      <text>
        <r>
          <rPr>
            <sz val="9"/>
            <color indexed="81"/>
            <rFont val="Tahoma"/>
            <family val="2"/>
          </rPr>
          <t>Informar o número médio de dias trabalhados por mês</t>
        </r>
      </text>
    </comment>
    <comment ref="D80" authorId="0" shapeId="0">
      <text>
        <r>
          <rPr>
            <sz val="9"/>
            <color indexed="81"/>
            <rFont val="Tahoma"/>
            <family val="2"/>
          </rPr>
          <t>Valor Unitário considerando o desconto legal de até 6% do salário</t>
        </r>
      </text>
    </comment>
    <comment ref="D81" authorId="0" shapeId="0">
      <text>
        <r>
          <rPr>
            <sz val="9"/>
            <color indexed="81"/>
            <rFont val="Tahoma"/>
            <family val="2"/>
          </rPr>
          <t xml:space="preserve">Valor Unitário considerando o desconto legal de até 6% do salário
</t>
        </r>
      </text>
    </comment>
    <comment ref="D86" authorId="0" shapeId="0">
      <text>
        <r>
          <rPr>
            <sz val="9"/>
            <color indexed="81"/>
            <rFont val="Tahoma"/>
            <family val="2"/>
          </rPr>
          <t>Informar o valor unitário diário do vale refeição, considerando o desconto aplicável ao funcionário, conforme Convenção Coletiva da categoria.</t>
        </r>
      </text>
    </comment>
    <comment ref="D87" authorId="0" shapeId="0">
      <text>
        <r>
          <rPr>
            <sz val="9"/>
            <color indexed="81"/>
            <rFont val="Tahoma"/>
            <family val="2"/>
          </rPr>
          <t>Informar o valor unitário diário do vale refeição, considerando o desconto aplicável ao funcionário, conforme Convenção Coletiva da categoria.</t>
        </r>
      </text>
    </comment>
    <comment ref="D92" authorId="0" shapeId="0">
      <text>
        <r>
          <rPr>
            <sz val="9"/>
            <color indexed="81"/>
            <rFont val="Tahoma"/>
            <family val="2"/>
          </rPr>
          <t>Informar o valor mensal do auxilio alimentação, considerando o desconto aplicável ao funcionário, conforme Convenção Coletiva da categoria</t>
        </r>
      </text>
    </comment>
    <comment ref="C108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08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09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09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10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10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11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11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12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12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13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13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14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14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15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15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16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16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17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17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24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25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26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27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28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29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41" authorId="0" shapeId="0">
      <text>
        <r>
          <rPr>
            <sz val="9"/>
            <color indexed="81"/>
            <rFont val="Tahoma"/>
            <family val="2"/>
          </rPr>
          <t>Informar o preço unitário do chassis do caminhão de coleta</t>
        </r>
      </text>
    </comment>
    <comment ref="C142" authorId="0" shapeId="0">
      <text>
        <r>
          <rPr>
            <sz val="9"/>
            <color indexed="81"/>
            <rFont val="Tahoma"/>
            <family val="2"/>
          </rPr>
          <t>Informar a vida útil estimada para o caminhão, em anos</t>
        </r>
      </text>
    </comment>
    <comment ref="C143" authorId="0" shapeId="0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veículo proposto.</t>
        </r>
      </text>
    </comment>
    <comment ref="C144" authorId="0" shapeId="0">
      <text>
        <r>
          <rPr>
            <b/>
            <sz val="9"/>
            <color indexed="81"/>
            <rFont val="Tahoma"/>
            <family val="2"/>
          </rPr>
          <t xml:space="preserve">Informar o valor da depreciação do caminhão, adotando o valor sugerido pelo TCE ou outro valor estimado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47" authorId="0" shapeId="0">
      <text>
        <r>
          <rPr>
            <sz val="9"/>
            <color indexed="81"/>
            <rFont val="Tahoma"/>
            <family val="2"/>
          </rPr>
          <t>Informar a quantidade de caminhões compactadores do respectivo modelo</t>
        </r>
      </text>
    </comment>
    <comment ref="C153" authorId="0" shapeId="0">
      <text>
        <r>
          <rPr>
            <b/>
            <sz val="9"/>
            <color indexed="81"/>
            <rFont val="Tahoma"/>
            <family val="2"/>
          </rPr>
          <t>Informar a taxa de juros anual para remuneração do capital. Recomenda-se o uso da Taxa SELIC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64" authorId="0" shapeId="0">
      <text>
        <r>
          <rPr>
            <sz val="9"/>
            <color indexed="81"/>
            <rFont val="Tahoma"/>
            <family val="2"/>
          </rPr>
          <t xml:space="preserve">Informar o valor do seguro obrigatório e licenciamento anual de um caminhão
</t>
        </r>
      </text>
    </comment>
    <comment ref="D165" authorId="0" shapeId="0">
      <text>
        <r>
          <rPr>
            <sz val="9"/>
            <color indexed="81"/>
            <rFont val="Tahoma"/>
            <family val="2"/>
          </rPr>
          <t xml:space="preserve">Informar o valor do seguro contra terceiros de um caminhão, se houver previsão no Projeto Básico
</t>
        </r>
      </text>
    </comment>
    <comment ref="B171" authorId="0" shapeId="0">
      <text>
        <r>
          <rPr>
            <sz val="9"/>
            <color indexed="81"/>
            <rFont val="Tahoma"/>
            <family val="2"/>
          </rPr>
          <t xml:space="preserve">Informar a quilometragem mensal percorrida, de acordo com o projeto básico
</t>
        </r>
      </text>
    </comment>
    <comment ref="C174" authorId="0" shapeId="0">
      <text>
        <r>
          <rPr>
            <sz val="9"/>
            <color indexed="81"/>
            <rFont val="Tahoma"/>
            <family val="2"/>
          </rPr>
          <t>Informar o consumo estimado do veículo em km/l</t>
        </r>
      </text>
    </comment>
    <comment ref="D174" authorId="0" shapeId="0">
      <text>
        <r>
          <rPr>
            <sz val="9"/>
            <color indexed="81"/>
            <rFont val="Tahoma"/>
            <family val="2"/>
          </rPr>
          <t xml:space="preserve">Informar o preço unitário do combustivel
</t>
        </r>
      </text>
    </comment>
    <comment ref="C176" authorId="0" shapeId="0">
      <text>
        <r>
          <rPr>
            <sz val="9"/>
            <color indexed="81"/>
            <rFont val="Tahoma"/>
            <family val="2"/>
          </rPr>
          <t>Informar o consumo de óleo do motor a cada 1000km</t>
        </r>
      </text>
    </comment>
    <comment ref="D176" authorId="0" shapeId="0">
      <text>
        <r>
          <rPr>
            <sz val="9"/>
            <color indexed="81"/>
            <rFont val="Tahoma"/>
            <family val="2"/>
          </rPr>
          <t xml:space="preserve">Informar o preço unitário do litro do óleo do motor
</t>
        </r>
      </text>
    </comment>
    <comment ref="C178" authorId="0" shapeId="0">
      <text>
        <r>
          <rPr>
            <sz val="9"/>
            <color indexed="81"/>
            <rFont val="Tahoma"/>
            <family val="2"/>
          </rPr>
          <t>Informar o consumo de óleo da transmissão a cada 1000km</t>
        </r>
      </text>
    </comment>
    <comment ref="D178" authorId="0" shapeId="0">
      <text>
        <r>
          <rPr>
            <sz val="9"/>
            <color indexed="81"/>
            <rFont val="Tahoma"/>
            <family val="2"/>
          </rPr>
          <t xml:space="preserve">Informar o preço unitário do litro do óleo da transmissão
</t>
        </r>
      </text>
    </comment>
    <comment ref="C180" authorId="0" shapeId="0">
      <text>
        <r>
          <rPr>
            <sz val="9"/>
            <color indexed="81"/>
            <rFont val="Tahoma"/>
            <family val="2"/>
          </rPr>
          <t>Informar o consumo de óleo hidráulico a cada 1000km</t>
        </r>
      </text>
    </comment>
    <comment ref="D180" authorId="0" shapeId="0">
      <text>
        <r>
          <rPr>
            <sz val="9"/>
            <color indexed="81"/>
            <rFont val="Tahoma"/>
            <family val="2"/>
          </rPr>
          <t xml:space="preserve">Informar o preço unitário do litro do óleo hidráulico
</t>
        </r>
      </text>
    </comment>
    <comment ref="C182" authorId="0" shapeId="0">
      <text>
        <r>
          <rPr>
            <sz val="9"/>
            <color indexed="81"/>
            <rFont val="Tahoma"/>
            <family val="2"/>
          </rPr>
          <t>Informar o consumo de graxa a cada 1000km</t>
        </r>
      </text>
    </comment>
    <comment ref="D182" authorId="0" shapeId="0">
      <text>
        <r>
          <rPr>
            <sz val="9"/>
            <color indexed="81"/>
            <rFont val="Tahoma"/>
            <family val="2"/>
          </rPr>
          <t xml:space="preserve">Informar o preço unitário do litro da graxa
</t>
        </r>
      </text>
    </comment>
    <comment ref="D189" authorId="0" shapeId="0">
      <text>
        <r>
          <rPr>
            <sz val="9"/>
            <color indexed="81"/>
            <rFont val="Tahoma"/>
            <family val="2"/>
          </rPr>
          <t xml:space="preserve">Informar o custo de manutenção em R$/km rodado
</t>
        </r>
      </text>
    </comment>
    <comment ref="C194" authorId="0" shapeId="0">
      <text>
        <r>
          <rPr>
            <sz val="9"/>
            <color indexed="81"/>
            <rFont val="Tahoma"/>
            <family val="2"/>
          </rPr>
          <t>Informar a quantidade de pneus novos de 1 caminhão</t>
        </r>
      </text>
    </comment>
    <comment ref="D194" authorId="0" shapeId="0">
      <text>
        <r>
          <rPr>
            <sz val="9"/>
            <color indexed="81"/>
            <rFont val="Tahoma"/>
            <family val="2"/>
          </rPr>
          <t xml:space="preserve">Informar o preço unitário de cada pneu
</t>
        </r>
      </text>
    </comment>
    <comment ref="C195" authorId="0" shapeId="0">
      <text>
        <r>
          <rPr>
            <sz val="9"/>
            <color indexed="81"/>
            <rFont val="Tahoma"/>
            <family val="2"/>
          </rPr>
          <t>Informar o número de recapagens por pneu</t>
        </r>
      </text>
    </comment>
    <comment ref="D196" authorId="0" shapeId="0">
      <text>
        <r>
          <rPr>
            <sz val="9"/>
            <color indexed="81"/>
            <rFont val="Tahoma"/>
            <family val="2"/>
          </rPr>
          <t xml:space="preserve">Informar o preço unitário de cada recapagem
</t>
        </r>
      </text>
    </comment>
    <comment ref="C197" authorId="0" shapeId="0">
      <text>
        <r>
          <rPr>
            <sz val="9"/>
            <color indexed="81"/>
            <rFont val="Tahoma"/>
            <family val="2"/>
          </rPr>
          <t xml:space="preserve">Informar a durabilidade média dos pneus considerando todas as recapagens, em km
</t>
        </r>
      </text>
    </comment>
    <comment ref="C207" authorId="0" shape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07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208" authorId="0" shape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08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209" authorId="0" shape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09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A223" authorId="0" shapeId="0">
      <text>
        <r>
          <rPr>
            <b/>
            <sz val="9"/>
            <color indexed="81"/>
            <rFont val="Tahoma"/>
            <family val="2"/>
          </rPr>
          <t>Especificar somente quando for exigido no Projeto Básico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26" authorId="0" shapeId="0">
      <text>
        <r>
          <rPr>
            <sz val="9"/>
            <color indexed="81"/>
            <rFont val="Tahoma"/>
            <family val="2"/>
          </rPr>
          <t>Informar o valor total para instalação do equipamento de monitoramento da frota, se houver previsão no Projeto Básico</t>
        </r>
      </text>
    </comment>
    <comment ref="D228" authorId="0" shapeId="0">
      <text>
        <r>
          <rPr>
            <sz val="9"/>
            <color indexed="81"/>
            <rFont val="Tahoma"/>
            <family val="2"/>
          </rPr>
          <t>Informar o valor unitário mensal para manutenção dos equipamentos de monitoramento</t>
        </r>
      </text>
    </comment>
    <comment ref="C239" authorId="0" shapeId="0">
      <text>
        <r>
          <rPr>
            <sz val="9"/>
            <color indexed="81"/>
            <rFont val="Tahoma"/>
            <family val="2"/>
          </rPr>
          <t>Preencher a aba 4.BDI</t>
        </r>
      </text>
    </comment>
  </commentList>
</comments>
</file>

<file path=xl/comments2.xml><?xml version="1.0" encoding="utf-8"?>
<comments xmlns="http://schemas.openxmlformats.org/spreadsheetml/2006/main">
  <authors>
    <author>Clauber Bridi</author>
  </authors>
  <commentList>
    <comment ref="C12" authorId="0" shapeId="0">
      <text>
        <r>
          <rPr>
            <b/>
            <sz val="9"/>
            <color indexed="81"/>
            <rFont val="Tahoma"/>
            <family val="2"/>
          </rPr>
          <t>Informar o % de Administração Central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3" authorId="0" shapeId="0">
      <text>
        <r>
          <rPr>
            <b/>
            <sz val="9"/>
            <color indexed="81"/>
            <rFont val="Tahoma"/>
            <family val="2"/>
          </rPr>
          <t>Informar o % de Seguros, Riscos e Garantia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4" authorId="0" shapeId="0">
      <text>
        <r>
          <rPr>
            <b/>
            <sz val="9"/>
            <color indexed="81"/>
            <rFont val="Tahoma"/>
            <family val="2"/>
          </rPr>
          <t>Informar o % de Lucro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5" authorId="0" shapeId="0">
      <text>
        <r>
          <rPr>
            <b/>
            <sz val="9"/>
            <color indexed="81"/>
            <rFont val="Tahoma"/>
            <family val="2"/>
          </rPr>
          <t>Informar o valor anual da taxa financeira, em percentual. Admite-se utilizar a SELIC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Informar o percentual de ISS, de acordo com a legislação tributária do município onde serão prestados os serviços. De 2% até o limite de 5%.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6" authorId="0" shapeId="0">
      <text>
        <r>
          <rPr>
            <b/>
            <sz val="9"/>
            <color indexed="81"/>
            <rFont val="Tahoma"/>
            <family val="2"/>
          </rPr>
          <t>Informar a média de dias úteis entre data de pagamento prevista no contrato e a data final do período de adimplemento da parcela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 shapeId="0">
      <text>
        <r>
          <rPr>
            <b/>
            <sz val="9"/>
            <color indexed="81"/>
            <rFont val="Tahoma"/>
            <family val="2"/>
          </rPr>
          <t xml:space="preserve">Informar o valor estimado de PIS/COFINS. </t>
        </r>
        <r>
          <rPr>
            <sz val="9"/>
            <color indexed="81"/>
            <rFont val="Tahoma"/>
            <family val="2"/>
          </rPr>
          <t xml:space="preserve">
1. Adotar 0,65% PIS + 3% COFINS quando o valor anual estimado do contrato for inferior ao limite para tributação pelo regime de incidência não-cumulativa (lucro presumido);
2. Adotar 1,65% PIS + 7,6% COFINS quando o valor anual estimado do contrato for superior ao limite para tributação pelo regime de incidência não-cumulativa (lucro real);</t>
        </r>
      </text>
    </comment>
  </commentList>
</comments>
</file>

<file path=xl/comments3.xml><?xml version="1.0" encoding="utf-8"?>
<comments xmlns="http://schemas.openxmlformats.org/spreadsheetml/2006/main">
  <authors>
    <author>cbridi</author>
    <author>Clauber Bridi</author>
    <author>Omar</author>
  </authors>
  <commentList>
    <comment ref="C12" authorId="0" shapeId="0">
      <text>
        <r>
          <rPr>
            <sz val="8"/>
            <color indexed="81"/>
            <rFont val="Tahoma"/>
            <family val="2"/>
          </rPr>
          <t>Informar a população do município a ser atendida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>Caso o município possua informações de pesagem, ajustar com o valor da geração média per capita realizada nos últimos 12 meses</t>
        </r>
      </text>
    </comment>
    <comment ref="C14" authorId="2" shapeId="0">
      <text>
        <r>
          <rPr>
            <sz val="9"/>
            <color indexed="81"/>
            <rFont val="Tahoma"/>
            <family val="2"/>
          </rPr>
          <t>retorna a geração diária a ser recolhida</t>
        </r>
      </text>
    </comment>
    <comment ref="C16" authorId="0" shapeId="0">
      <text>
        <r>
          <rPr>
            <b/>
            <sz val="8"/>
            <color indexed="81"/>
            <rFont val="Tahoma"/>
            <charset val="1"/>
          </rPr>
          <t>Informe o número de dias de coleta por semana</t>
        </r>
      </text>
    </comment>
    <comment ref="C19" authorId="0" shapeId="0">
      <text>
        <r>
          <rPr>
            <sz val="8"/>
            <color indexed="81"/>
            <rFont val="Tahoma"/>
            <family val="2"/>
          </rPr>
          <t>Informar 1 para caminhão toco; Informar 2 para caminhão truck</t>
        </r>
        <r>
          <rPr>
            <b/>
            <sz val="8"/>
            <color indexed="81"/>
            <rFont val="Tahoma"/>
            <family val="2"/>
          </rPr>
          <t xml:space="preserve"> </t>
        </r>
      </text>
    </comment>
    <comment ref="C20" authorId="0" shapeId="0">
      <text>
        <r>
          <rPr>
            <sz val="8"/>
            <color indexed="81"/>
            <rFont val="Tahoma"/>
            <family val="2"/>
          </rPr>
          <t>Informar a capacidade do compactador em m³</t>
        </r>
      </text>
    </comment>
    <comment ref="C23" authorId="1" shapeId="0">
      <text>
        <r>
          <rPr>
            <sz val="8"/>
            <color indexed="81"/>
            <rFont val="Tahoma"/>
            <family val="2"/>
          </rPr>
          <t xml:space="preserve">Informar o número de percursos de coleta (cargas) que cada caminhão realiza por dia, considerando todos os turnos de trabalho. </t>
        </r>
      </text>
    </comment>
  </commentList>
</comments>
</file>

<file path=xl/sharedStrings.xml><?xml version="1.0" encoding="utf-8"?>
<sst xmlns="http://schemas.openxmlformats.org/spreadsheetml/2006/main" count="560" uniqueCount="309">
  <si>
    <t>Adicional de Insalubridade</t>
  </si>
  <si>
    <t>%</t>
  </si>
  <si>
    <t>Soma</t>
  </si>
  <si>
    <t>Encargos Sociais</t>
  </si>
  <si>
    <t>Total do Efetivo</t>
  </si>
  <si>
    <t>homem</t>
  </si>
  <si>
    <t>mês</t>
  </si>
  <si>
    <t>vale</t>
  </si>
  <si>
    <t>unidade</t>
  </si>
  <si>
    <t>Colete reflexivo</t>
  </si>
  <si>
    <t>IPVA</t>
  </si>
  <si>
    <t>Seguro contra terceiros</t>
  </si>
  <si>
    <t>Impostos e seguros mensais</t>
  </si>
  <si>
    <t>Custo de óleo diesel / km rodado</t>
  </si>
  <si>
    <t>km/l</t>
  </si>
  <si>
    <t>Custo mensal com óleo diesel</t>
  </si>
  <si>
    <t>km</t>
  </si>
  <si>
    <t>l/1.000 km</t>
  </si>
  <si>
    <t>Custo mensal com óleo do motor</t>
  </si>
  <si>
    <t>Custo mensal com óleo da transmissão</t>
  </si>
  <si>
    <t>Custo mensal com óleo hidráulico</t>
  </si>
  <si>
    <t>Custo de graxa /1.000 km rodados</t>
  </si>
  <si>
    <t>kg/1.000 km</t>
  </si>
  <si>
    <t>Custo mensal com graxa</t>
  </si>
  <si>
    <t>km/jogo</t>
  </si>
  <si>
    <t>Pá de Concha</t>
  </si>
  <si>
    <t>Vassoura</t>
  </si>
  <si>
    <t>Calça</t>
  </si>
  <si>
    <t>Camiseta</t>
  </si>
  <si>
    <t>Boné</t>
  </si>
  <si>
    <t>Luva de proteção</t>
  </si>
  <si>
    <t>R$</t>
  </si>
  <si>
    <t>Benefícios e despesas indiretas</t>
  </si>
  <si>
    <t>Custo mensal com manutenção</t>
  </si>
  <si>
    <t>Custo (R$/mês)</t>
  </si>
  <si>
    <t>Mão-de-obra</t>
  </si>
  <si>
    <t>Quantidade</t>
  </si>
  <si>
    <t>INSS</t>
  </si>
  <si>
    <t>FGTS</t>
  </si>
  <si>
    <t>Planilha de Composição de Custos</t>
  </si>
  <si>
    <t>Motorista</t>
  </si>
  <si>
    <t>2. Uniformes e Equipamentos de Proteção Individual</t>
  </si>
  <si>
    <t>3.1.1. Depreciação</t>
  </si>
  <si>
    <t>1. Mão-de-obra</t>
  </si>
  <si>
    <t>par</t>
  </si>
  <si>
    <t>frasco 120g</t>
  </si>
  <si>
    <t>Depreciação mensal veículos coletores</t>
  </si>
  <si>
    <t>3.1.3. Impostos e Seguros</t>
  </si>
  <si>
    <t>3.1.4. Consumos</t>
  </si>
  <si>
    <t>3.1.5. Manutenção</t>
  </si>
  <si>
    <t>3. Veículos e Equipamentos</t>
  </si>
  <si>
    <t>Custo mensal com pneus</t>
  </si>
  <si>
    <t>Veículos e Equipamentos</t>
  </si>
  <si>
    <t>cj</t>
  </si>
  <si>
    <t>Total de mão-de-obra (postos de trabalho)</t>
  </si>
  <si>
    <t>Custo mensal com implantação</t>
  </si>
  <si>
    <t>3.1.6. Pneus</t>
  </si>
  <si>
    <t>Protetor solar FPS 30</t>
  </si>
  <si>
    <t>Discriminação</t>
  </si>
  <si>
    <t>Unidade</t>
  </si>
  <si>
    <t>Subtotal</t>
  </si>
  <si>
    <r>
      <t xml:space="preserve">Total </t>
    </r>
    <r>
      <rPr>
        <b/>
        <u/>
        <sz val="9"/>
        <rFont val="Arial"/>
        <family val="2"/>
      </rPr>
      <t>(R$)</t>
    </r>
  </si>
  <si>
    <t>Jaqueta com reflexivo (NBR 15.292)</t>
  </si>
  <si>
    <t>Capa de chuva amarela com reflexivo</t>
  </si>
  <si>
    <t>Botina de segurança c/ palmilha aço</t>
  </si>
  <si>
    <t>Custo de recapagem</t>
  </si>
  <si>
    <t>Recipiente térmico para água (5L)</t>
  </si>
  <si>
    <t>Total por Coletor</t>
  </si>
  <si>
    <t>Coletor</t>
  </si>
  <si>
    <t>4. Ferramentas e Materiais de Consumo</t>
  </si>
  <si>
    <t>Administração Central</t>
  </si>
  <si>
    <t>AC</t>
  </si>
  <si>
    <t>Seguros/Riscos/Garantias</t>
  </si>
  <si>
    <t>SRG</t>
  </si>
  <si>
    <t>Lucro</t>
  </si>
  <si>
    <t>L</t>
  </si>
  <si>
    <t>Despesas Financeiras</t>
  </si>
  <si>
    <t>DF</t>
  </si>
  <si>
    <t>Tributos - ISS</t>
  </si>
  <si>
    <t>T</t>
  </si>
  <si>
    <t>Tributos - PIS/COFINS</t>
  </si>
  <si>
    <t>Fórmula para o cálculo do BDI:</t>
  </si>
  <si>
    <t>{[(1+AC+SRG) x (1+L) x (1+DF)] / (1-T)} -1</t>
  </si>
  <si>
    <t>Resultado do cálculo do BDI:</t>
  </si>
  <si>
    <t>Vale Transporte</t>
  </si>
  <si>
    <t>Dias Trabalhados por mês</t>
  </si>
  <si>
    <t>dia</t>
  </si>
  <si>
    <t>Custo Mensal com Mão-de-obra (R$/mês)</t>
  </si>
  <si>
    <t>Meia de algodão com cano alto</t>
  </si>
  <si>
    <r>
      <t xml:space="preserve">Custo jg. compl. + </t>
    </r>
    <r>
      <rPr>
        <sz val="10"/>
        <color indexed="10"/>
        <rFont val="Arial"/>
        <family val="2"/>
      </rPr>
      <t>X</t>
    </r>
    <r>
      <rPr>
        <sz val="10"/>
        <rFont val="Arial"/>
        <family val="2"/>
      </rPr>
      <t xml:space="preserve"> recap./ km rodado</t>
    </r>
  </si>
  <si>
    <t>Quantitativos</t>
  </si>
  <si>
    <t>1.1. Coletor Turno Dia</t>
  </si>
  <si>
    <t>anos</t>
  </si>
  <si>
    <t>i = taxa de juros do mercado (sugere-se adotar a taxa SELIC)</t>
  </si>
  <si>
    <t>n = vida útil do bem em anos</t>
  </si>
  <si>
    <t>3.1.2. Remuneração do Capital</t>
  </si>
  <si>
    <t>Im = investimento médio</t>
  </si>
  <si>
    <t>Quilometragem mensal</t>
  </si>
  <si>
    <t>R$/km rodado</t>
  </si>
  <si>
    <t>Número de recapagens por pneu</t>
  </si>
  <si>
    <t>Admissões</t>
  </si>
  <si>
    <t>Desligamentos</t>
  </si>
  <si>
    <t>Dispensados com justa causa</t>
  </si>
  <si>
    <t>Dispensados sem justa causa</t>
  </si>
  <si>
    <t>Espontâneos</t>
  </si>
  <si>
    <t>Fim de contrato por prazo determinado</t>
  </si>
  <si>
    <t>Término de contrato</t>
  </si>
  <si>
    <t>Aposentados</t>
  </si>
  <si>
    <t>Mortos</t>
  </si>
  <si>
    <t>Transferência de saída</t>
  </si>
  <si>
    <t xml:space="preserve"> </t>
  </si>
  <si>
    <t>Indicadores</t>
  </si>
  <si>
    <t>Dias ano</t>
  </si>
  <si>
    <t>Estoque Médio</t>
  </si>
  <si>
    <t>Multa FGTS</t>
  </si>
  <si>
    <t>Dias de Aviso prévio</t>
  </si>
  <si>
    <t>Código</t>
  </si>
  <si>
    <t>Descrição</t>
  </si>
  <si>
    <t>Valor</t>
  </si>
  <si>
    <t>A1</t>
  </si>
  <si>
    <t>A2</t>
  </si>
  <si>
    <t>SESI</t>
  </si>
  <si>
    <t>A3</t>
  </si>
  <si>
    <t>SENAI</t>
  </si>
  <si>
    <t>A4</t>
  </si>
  <si>
    <t>INCRA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</si>
  <si>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</si>
  <si>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</si>
  <si>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</si>
  <si>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</si>
  <si>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</si>
  <si>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</si>
  <si>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</si>
  <si>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A</t>
  </si>
  <si>
    <t>SOMA GRUPO A</t>
  </si>
  <si>
    <t>B1</t>
  </si>
  <si>
    <t>Férias gozadas</t>
  </si>
  <si>
    <t>B2</t>
  </si>
  <si>
    <t>13º salário</t>
  </si>
  <si>
    <t>B4</t>
  </si>
  <si>
    <t>Licença Paternidade</t>
  </si>
  <si>
    <t>B5</t>
  </si>
  <si>
    <t>Faltas justificadas</t>
  </si>
  <si>
    <t>B6</t>
  </si>
  <si>
    <t>Auxilio acidente de trabalho</t>
  </si>
  <si>
    <t>Auxilio doença</t>
  </si>
  <si>
    <t>B</t>
  </si>
  <si>
    <t>SOMA GRUPO B</t>
  </si>
  <si>
    <t>C1</t>
  </si>
  <si>
    <t>Aviso prévio indenizado</t>
  </si>
  <si>
    <t>C3</t>
  </si>
  <si>
    <t xml:space="preserve">Férias indenizadas </t>
  </si>
  <si>
    <t>C4</t>
  </si>
  <si>
    <t>Férias indenizadas s/ aviso previo inden.</t>
  </si>
  <si>
    <t>C5</t>
  </si>
  <si>
    <t>Depósito rescisão sem justa causa</t>
  </si>
  <si>
    <t>Indenização adicional</t>
  </si>
  <si>
    <t>C</t>
  </si>
  <si>
    <t>SOMA GRUPO C</t>
  </si>
  <si>
    <t>D1</t>
  </si>
  <si>
    <t>Reincidência de Grupo A sobre Grupo B</t>
  </si>
  <si>
    <t>D2</t>
  </si>
  <si>
    <t>D</t>
  </si>
  <si>
    <t>SOMA GRUPO D</t>
  </si>
  <si>
    <t>SOMA (A+B+C+D)</t>
  </si>
  <si>
    <t>1° Quartil</t>
  </si>
  <si>
    <t>Médio</t>
  </si>
  <si>
    <t>3° Quartil</t>
  </si>
  <si>
    <t>DU</t>
  </si>
  <si>
    <t>Licenciamento e Seguro obrigatório</t>
  </si>
  <si>
    <t>Fator de utilização</t>
  </si>
  <si>
    <t>Fator de utilização (FU)</t>
  </si>
  <si>
    <t>2.1. Uniformes e EPIs para Coletor</t>
  </si>
  <si>
    <t>2.2. Uniformes e EPIs para demais categorias</t>
  </si>
  <si>
    <t>Custo Mensal com Uniformes e EPIs (R$/mês)</t>
  </si>
  <si>
    <t>Descrição do Item</t>
  </si>
  <si>
    <t>Orçamento Sintético</t>
  </si>
  <si>
    <t>Orientações para preenchimento:</t>
  </si>
  <si>
    <t>2. Preencher somente células em amarelo</t>
  </si>
  <si>
    <t>Rio Grande do Sul  - Coleta de Resíduos Não-Perigosos - CNAE 38114</t>
  </si>
  <si>
    <t>Idade do veículo (ano)</t>
  </si>
  <si>
    <t>Idade do veículo</t>
  </si>
  <si>
    <t>Valor do veículo proposto (V0)</t>
  </si>
  <si>
    <t>Taxa de juros anual nominal</t>
  </si>
  <si>
    <t>Piso da categoria</t>
  </si>
  <si>
    <t>Base de cálculo da Insalubridade</t>
  </si>
  <si>
    <t>C2</t>
  </si>
  <si>
    <t>B3</t>
  </si>
  <si>
    <t xml:space="preserve">1. Coleta de Resíduos Sólidos </t>
  </si>
  <si>
    <t>Custo Mensal com Monitoramento da Frota (R$/mês)</t>
  </si>
  <si>
    <t>Implantação dos equipamentos de monitoramento</t>
  </si>
  <si>
    <t>Manutenção dos equipamentos de monitoramento</t>
  </si>
  <si>
    <t>Custo Mensal com Veículos e Equipamentos (R$/mês)</t>
  </si>
  <si>
    <t>Custo Mensal com Ferramentas e Materiais de Consumo (R$/mês)</t>
  </si>
  <si>
    <t>CUSTO TOTAL MENSAL COM DESPESAS OPERACIONAIS (R$/mês)</t>
  </si>
  <si>
    <t>PREÇO MENSAL TOTAL (R$/mês)</t>
  </si>
  <si>
    <t>3. CAGED</t>
  </si>
  <si>
    <t>4. Composição do BDI - Benefícios e Despesas Indiretas</t>
  </si>
  <si>
    <t xml:space="preserve">2. Composição dos Encargos Sociais </t>
  </si>
  <si>
    <t>5. Depreciação Referencial TCE/RS (%)</t>
  </si>
  <si>
    <r>
      <t>J</t>
    </r>
    <r>
      <rPr>
        <vertAlign val="subscript"/>
        <sz val="12"/>
        <color indexed="8"/>
        <rFont val="Arial"/>
        <family val="2"/>
      </rPr>
      <t>m</t>
    </r>
    <r>
      <rPr>
        <sz val="12"/>
        <color indexed="8"/>
        <rFont val="Arial"/>
        <family val="2"/>
      </rPr>
      <t xml:space="preserve"> = remuneração de capital mensal</t>
    </r>
  </si>
  <si>
    <r>
      <t>V</t>
    </r>
    <r>
      <rPr>
        <vertAlign val="subscript"/>
        <sz val="12"/>
        <color indexed="8"/>
        <rFont val="Arial"/>
        <family val="2"/>
      </rPr>
      <t>0</t>
    </r>
    <r>
      <rPr>
        <sz val="12"/>
        <color indexed="8"/>
        <rFont val="Arial"/>
        <family val="2"/>
      </rPr>
      <t xml:space="preserve"> = valor inicial do bem</t>
    </r>
  </si>
  <si>
    <r>
      <t>V</t>
    </r>
    <r>
      <rPr>
        <vertAlign val="subscript"/>
        <sz val="12"/>
        <color indexed="8"/>
        <rFont val="Arial"/>
        <family val="2"/>
      </rPr>
      <t>r</t>
    </r>
    <r>
      <rPr>
        <sz val="12"/>
        <color indexed="8"/>
        <rFont val="Arial"/>
        <family val="2"/>
      </rPr>
      <t xml:space="preserve"> = valor residual do bem</t>
    </r>
  </si>
  <si>
    <t>6. Remuneração de Capital</t>
  </si>
  <si>
    <t>Custo unitário</t>
  </si>
  <si>
    <t>Custo de óleo do motor /1.000 km rodados</t>
  </si>
  <si>
    <t>Custo de óleo da transmissão /1.000 km</t>
  </si>
  <si>
    <t>Custo de óleo hidráulico / 1.000 km</t>
  </si>
  <si>
    <t>PREÇO TOTAL MENSAL COM A COLETA</t>
  </si>
  <si>
    <t>CUSTO MENSAL COM BDI (R$/mês)</t>
  </si>
  <si>
    <t>CÁLCULO DAS VERBAS INDENIZATÓRIAS DOS EMPREGADOS NO SETOR DE COLETA DE RSU</t>
  </si>
  <si>
    <t>1/3 de férias (dias)</t>
  </si>
  <si>
    <t>Férias (dias)</t>
  </si>
  <si>
    <t>13º Salário (dias)</t>
  </si>
  <si>
    <t>Referência estudo TCE</t>
  </si>
  <si>
    <t>1. Preencha previamente os dados de entrada na planilha 3.CAGED</t>
  </si>
  <si>
    <t>Rotatividade temporal (meses)</t>
  </si>
  <si>
    <t>1. Esta planilha é somente um modelo-base e deve ser ajustada conforme cada caso concreto.</t>
  </si>
  <si>
    <t>Fórmula de cálculo da remuneração de capital:</t>
  </si>
  <si>
    <t>Total por Motorista</t>
  </si>
  <si>
    <t>Durabilidade (meses)</t>
  </si>
  <si>
    <t>Custo com consumos/km rodado</t>
  </si>
  <si>
    <t>Consumo</t>
  </si>
  <si>
    <t>Total por veículo</t>
  </si>
  <si>
    <t>Total da frota</t>
  </si>
  <si>
    <t>1. Esta planilha é somente um modelo de cálculo expedito e deve ser ajustada conforme cada caso concreto.</t>
  </si>
  <si>
    <t>Unid</t>
  </si>
  <si>
    <t>hab</t>
  </si>
  <si>
    <t>ton</t>
  </si>
  <si>
    <t>Densidade RSU compactado</t>
  </si>
  <si>
    <t>Kg/m³</t>
  </si>
  <si>
    <t>m³</t>
  </si>
  <si>
    <t>Kg/hab.dia</t>
  </si>
  <si>
    <t>ton/dia</t>
  </si>
  <si>
    <t>População (H)</t>
  </si>
  <si>
    <t>Geração per capita (G)</t>
  </si>
  <si>
    <t>Geração total diária (Qd)</t>
  </si>
  <si>
    <t>Quantitativo diário de coleta (Qc)</t>
  </si>
  <si>
    <t>Número de dias de coleta por semana (Dc)</t>
  </si>
  <si>
    <t>Capacidade nominal de carga (Cc)</t>
  </si>
  <si>
    <t>Número de Cargas por dia (Nc)</t>
  </si>
  <si>
    <t>Número de veículos da Frota (F)</t>
  </si>
  <si>
    <t>Geração Mensal</t>
  </si>
  <si>
    <t>Tipo de Veículo (1 = toco, 2 = truck)</t>
  </si>
  <si>
    <t>Capacidade do Compactador</t>
  </si>
  <si>
    <t>7. Dimensionamento da frota</t>
  </si>
  <si>
    <t>Indicador</t>
  </si>
  <si>
    <t>Número total de percursos de coleta por veículo, por dia (Np)</t>
  </si>
  <si>
    <t>i</t>
  </si>
  <si>
    <t>3. Preencher somente células em amarelo</t>
  </si>
  <si>
    <t>Depreciação Média</t>
  </si>
  <si>
    <t>2. Dimensionar separadamente setores atendidos por veículos de capacidade de carga diferentes.</t>
  </si>
  <si>
    <t>Reincidência de FGTS sobre aviso prévio indenizado</t>
  </si>
  <si>
    <t>O orçamento deve ser realizado por responsável técnico habilitado e é de responsabilidade do seu autor.</t>
  </si>
  <si>
    <t>Piso da categoria (2)</t>
  </si>
  <si>
    <t>Salário mínimo nacional (1)</t>
  </si>
  <si>
    <t>O TCE/RS não se responsabiliza pelo uso incorreto desta planilha.</t>
  </si>
  <si>
    <t>% Demitidos s/ Justa Causa em relação ao Estoque Médio</t>
  </si>
  <si>
    <t>Taxa de Rotatividade</t>
  </si>
  <si>
    <t>Acordo</t>
  </si>
  <si>
    <t>Variação Emprego Absoluta de 01-01-2019 a 31-12-2019</t>
  </si>
  <si>
    <t>Estoque recuperado início do Período 01-01-2019</t>
  </si>
  <si>
    <t>Estoque recuperado final do Período 31-12-2019</t>
  </si>
  <si>
    <t>Preencha as células em amarelo</t>
  </si>
  <si>
    <t>Tendo em vista que o CAGED foi descontinuado em janeiro de 2020, esta planilha foi atualizada até 31/12/2019.</t>
  </si>
  <si>
    <t>Ajustado, de acordo com a nova Lei Federal nº 13.932/2019</t>
  </si>
  <si>
    <t>Custo de aquisição do caminhão para lixo seco e orgânico</t>
  </si>
  <si>
    <t>Vida útil do caminhão</t>
  </si>
  <si>
    <t>Depreciação do caminhão</t>
  </si>
  <si>
    <t>Investimento médio total do caminhão</t>
  </si>
  <si>
    <t>Remuneração mensal de capital do caminhão</t>
  </si>
  <si>
    <t>Custo do jogo de pneus 275/80 R22,5</t>
  </si>
  <si>
    <t>3.1. Veículo Coletor 20 m³</t>
  </si>
  <si>
    <t xml:space="preserve">5. Administração Local </t>
  </si>
  <si>
    <t xml:space="preserve">Lavagem dos caminhões compactadores </t>
  </si>
  <si>
    <t>Publicidade (adesivos equipamentos e veículos)</t>
  </si>
  <si>
    <t>Custo Mensal com Administração Local</t>
  </si>
  <si>
    <t>6. Monitoramento da Frota</t>
  </si>
  <si>
    <t>7. Benefícios e Despesas Indiretas - BDI</t>
  </si>
  <si>
    <t>1.2. Motorista Turno do Dia</t>
  </si>
  <si>
    <t>1.3. Vale Transporte</t>
  </si>
  <si>
    <t>1.4. Vale-refeição (diário)</t>
  </si>
  <si>
    <t>1.5. Auxílio Alimentação (mensal)</t>
  </si>
  <si>
    <t xml:space="preserve">Plano de Benefício Social </t>
  </si>
  <si>
    <t>Fator de util.</t>
  </si>
  <si>
    <t xml:space="preserve">1.6. Plano de Benefício Social  </t>
  </si>
  <si>
    <t>Custo de manutenção do caminhão</t>
  </si>
  <si>
    <t>(A) Total de custos mensais Coleta</t>
  </si>
  <si>
    <t>(B) Despesa com Aterro e Destinação Final</t>
  </si>
  <si>
    <t>CUSTO TOTAL MENSAL</t>
  </si>
  <si>
    <t>Quantidade Total de Toneladas Coletadas</t>
  </si>
  <si>
    <t>Custo por Tonelada Coletada</t>
  </si>
  <si>
    <t>Coleta, Transporte e Destinação Final Resíduos Domiciliares</t>
  </si>
  <si>
    <t>Planilha de Composição de Custos (P.O)</t>
  </si>
  <si>
    <t>1. Esta planilha é somente um modelo-base. Qualquer custo previsto no edital e não contemplado nesta planilha deverá ser devidamente incluído</t>
  </si>
  <si>
    <t>3. As células azuis deverão ter seus valores preenchidos em outra planilha do arquivo.</t>
  </si>
  <si>
    <t>Prefeitura Municipal</t>
  </si>
  <si>
    <t xml:space="preserve">4. Destino Final </t>
  </si>
  <si>
    <t>PREÇO TOTAL MENSAL COM O DESTINO FINAL</t>
  </si>
  <si>
    <t xml:space="preserve">1. Destinação final </t>
  </si>
  <si>
    <t xml:space="preserve">Destinação Final </t>
  </si>
  <si>
    <t xml:space="preserve">Ton. </t>
  </si>
  <si>
    <t>Custo Mensal com Destinação Final (R$/mês)</t>
  </si>
  <si>
    <t>2. Benefícios e Despesas Indiretas - BDI</t>
  </si>
  <si>
    <t xml:space="preserve">Preço total por Ton em reais </t>
  </si>
  <si>
    <t xml:space="preserve">O orçamento deve ser realizado por responsável técnico habilitado e é </t>
  </si>
  <si>
    <t>de responsabilidade do seu autor.</t>
  </si>
  <si>
    <t>Composição do BDI - Benefícios e Despesas Indiretas do Aterro Sanitário</t>
  </si>
  <si>
    <t>Tributos - PIS/COFINS/ e CPP se houver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</si>
</sst>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 &quot;#,##0.00_);\(&quot;R$ &quot;#,##0.00\)"/>
    <numFmt numFmtId="165" formatCode="_(* #,##0.00_);_(* \(#,##0.00\);_(* &quot;-&quot;??_);_(@_)"/>
    <numFmt numFmtId="166" formatCode="_(* #,##0_);_(* \(#,##0\);_(* &quot;-&quot;??_);_(@_)"/>
    <numFmt numFmtId="167" formatCode="_(* #,##0.000_);_(* \(#,##0.000\);_(* &quot;-&quot;??_);_(@_)"/>
    <numFmt numFmtId="168" formatCode="&quot;R$ &quot;#,##0.00"/>
    <numFmt numFmtId="169" formatCode="0.0000"/>
    <numFmt numFmtId="170" formatCode="_-* #,##0.000_-;\-* #,##0.000_-;_-* &quot;-&quot;??_-;_-@_-"/>
    <numFmt numFmtId="171" formatCode="_-* #,##0.00_-;\-* #,##0.00_-;_-* &quot;-&quot;?_-;_-@_-"/>
    <numFmt numFmtId="172" formatCode="_-* #,##0_-;\-* #,##0_-;_-* &quot;-&quot;?_-;_-@_-"/>
    <numFmt numFmtId="173" formatCode="_(* #,##0.0000_);_(* \(#,##0.0000\);_(* &quot;-&quot;??_);_(@_)"/>
  </numFmts>
  <fonts count="3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2"/>
      <color theme="1"/>
      <name val="Arial"/>
      <family val="2"/>
    </font>
    <font>
      <vertAlign val="subscript"/>
      <sz val="12"/>
      <color indexed="8"/>
      <name val="Arial"/>
      <family val="2"/>
    </font>
    <font>
      <sz val="12"/>
      <color indexed="8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3"/>
      <color theme="1"/>
      <name val="Arial"/>
      <family val="2"/>
    </font>
    <font>
      <sz val="10"/>
      <color theme="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color indexed="81"/>
      <name val="Tahoma"/>
      <charset val="1"/>
    </font>
    <font>
      <b/>
      <sz val="10"/>
      <color rgb="FFFF0000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sz val="10"/>
      <name val="Arial"/>
    </font>
    <font>
      <i/>
      <sz val="11"/>
      <name val="Arial"/>
      <family val="2"/>
    </font>
    <font>
      <b/>
      <i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34" fillId="0" borderId="0"/>
    <xf numFmtId="9" fontId="1" fillId="0" borderId="0" applyFont="0" applyFill="0" applyBorder="0" applyAlignment="0" applyProtection="0"/>
  </cellStyleXfs>
  <cellXfs count="516">
    <xf numFmtId="0" fontId="0" fillId="0" borderId="0" xfId="0"/>
    <xf numFmtId="0" fontId="6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165" fontId="0" fillId="0" borderId="0" xfId="3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5" fontId="6" fillId="0" borderId="0" xfId="3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165" fontId="6" fillId="0" borderId="2" xfId="3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165" fontId="6" fillId="0" borderId="1" xfId="3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6" fillId="0" borderId="0" xfId="3" applyFont="1" applyAlignment="1">
      <alignment horizontal="center" vertical="center"/>
    </xf>
    <xf numFmtId="165" fontId="3" fillId="2" borderId="4" xfId="3" applyFont="1" applyFill="1" applyBorder="1" applyAlignment="1">
      <alignment horizontal="center" vertical="center"/>
    </xf>
    <xf numFmtId="165" fontId="3" fillId="2" borderId="4" xfId="3" applyFont="1" applyFill="1" applyBorder="1" applyAlignment="1">
      <alignment vertical="center"/>
    </xf>
    <xf numFmtId="165" fontId="3" fillId="0" borderId="0" xfId="3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65" fontId="3" fillId="0" borderId="6" xfId="3" applyFont="1" applyBorder="1" applyAlignment="1">
      <alignment vertical="center"/>
    </xf>
    <xf numFmtId="165" fontId="3" fillId="0" borderId="7" xfId="3" applyFont="1" applyBorder="1" applyAlignment="1">
      <alignment vertical="center"/>
    </xf>
    <xf numFmtId="0" fontId="6" fillId="0" borderId="6" xfId="0" applyFont="1" applyBorder="1" applyAlignment="1">
      <alignment vertical="center"/>
    </xf>
    <xf numFmtId="165" fontId="6" fillId="0" borderId="6" xfId="3" applyFont="1" applyBorder="1" applyAlignment="1">
      <alignment vertical="center"/>
    </xf>
    <xf numFmtId="165" fontId="6" fillId="0" borderId="7" xfId="3" applyFont="1" applyBorder="1" applyAlignment="1">
      <alignment vertical="center"/>
    </xf>
    <xf numFmtId="165" fontId="3" fillId="0" borderId="0" xfId="3" applyFont="1" applyBorder="1" applyAlignment="1">
      <alignment horizontal="center" vertical="center"/>
    </xf>
    <xf numFmtId="3" fontId="6" fillId="0" borderId="0" xfId="0" applyNumberFormat="1" applyFont="1" applyAlignment="1">
      <alignment vertical="center"/>
    </xf>
    <xf numFmtId="165" fontId="3" fillId="0" borderId="0" xfId="3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65" fontId="3" fillId="0" borderId="0" xfId="3" applyFont="1" applyBorder="1" applyAlignment="1">
      <alignment vertical="center"/>
    </xf>
    <xf numFmtId="165" fontId="5" fillId="0" borderId="0" xfId="3" applyFont="1" applyAlignment="1">
      <alignment vertical="center"/>
    </xf>
    <xf numFmtId="166" fontId="6" fillId="0" borderId="1" xfId="3" applyNumberFormat="1" applyFont="1" applyBorder="1" applyAlignment="1">
      <alignment vertical="center"/>
    </xf>
    <xf numFmtId="165" fontId="6" fillId="0" borderId="0" xfId="3" applyFont="1"/>
    <xf numFmtId="165" fontId="4" fillId="0" borderId="0" xfId="3" applyFont="1" applyAlignment="1">
      <alignment vertical="center"/>
    </xf>
    <xf numFmtId="165" fontId="0" fillId="0" borderId="9" xfId="3" applyFont="1" applyBorder="1" applyAlignment="1">
      <alignment vertical="center"/>
    </xf>
    <xf numFmtId="165" fontId="3" fillId="0" borderId="10" xfId="3" applyFont="1" applyBorder="1" applyAlignment="1">
      <alignment horizontal="center" vertical="center"/>
    </xf>
    <xf numFmtId="165" fontId="3" fillId="0" borderId="5" xfId="3" applyFont="1" applyBorder="1" applyAlignment="1">
      <alignment horizontal="left" vertical="center"/>
    </xf>
    <xf numFmtId="4" fontId="3" fillId="0" borderId="6" xfId="0" applyNumberFormat="1" applyFont="1" applyBorder="1" applyAlignment="1">
      <alignment horizontal="centerContinuous" vertical="center"/>
    </xf>
    <xf numFmtId="165" fontId="3" fillId="0" borderId="0" xfId="3" applyFont="1" applyAlignment="1">
      <alignment vertical="center"/>
    </xf>
    <xf numFmtId="165" fontId="0" fillId="0" borderId="8" xfId="0" applyNumberFormat="1" applyBorder="1" applyAlignment="1">
      <alignment vertical="center"/>
    </xf>
    <xf numFmtId="4" fontId="0" fillId="0" borderId="8" xfId="0" applyNumberFormat="1" applyBorder="1" applyAlignment="1">
      <alignment horizontal="centerContinuous" vertical="center"/>
    </xf>
    <xf numFmtId="165" fontId="0" fillId="0" borderId="8" xfId="3" applyFont="1" applyBorder="1" applyAlignment="1">
      <alignment vertical="center"/>
    </xf>
    <xf numFmtId="165" fontId="3" fillId="0" borderId="11" xfId="3" applyFont="1" applyBorder="1" applyAlignment="1">
      <alignment horizontal="right" vertical="center"/>
    </xf>
    <xf numFmtId="165" fontId="0" fillId="0" borderId="12" xfId="3" applyFont="1" applyBorder="1" applyAlignment="1">
      <alignment vertical="center"/>
    </xf>
    <xf numFmtId="165" fontId="6" fillId="0" borderId="1" xfId="3" applyFont="1" applyBorder="1" applyAlignment="1">
      <alignment vertical="center"/>
    </xf>
    <xf numFmtId="0" fontId="11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165" fontId="6" fillId="0" borderId="0" xfId="3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65" fontId="4" fillId="0" borderId="0" xfId="3" applyFont="1" applyBorder="1" applyAlignment="1">
      <alignment vertical="center"/>
    </xf>
    <xf numFmtId="10" fontId="0" fillId="0" borderId="13" xfId="2" applyNumberFormat="1" applyFont="1" applyBorder="1" applyAlignment="1">
      <alignment vertical="center"/>
    </xf>
    <xf numFmtId="165" fontId="6" fillId="0" borderId="0" xfId="3" applyFont="1" applyBorder="1" applyAlignment="1">
      <alignment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165" fontId="13" fillId="2" borderId="15" xfId="3" applyFont="1" applyFill="1" applyBorder="1" applyAlignment="1">
      <alignment horizontal="center" vertical="center"/>
    </xf>
    <xf numFmtId="165" fontId="13" fillId="2" borderId="16" xfId="3" applyFont="1" applyFill="1" applyBorder="1" applyAlignment="1">
      <alignment horizontal="center" vertical="center"/>
    </xf>
    <xf numFmtId="165" fontId="3" fillId="0" borderId="17" xfId="3" applyFont="1" applyBorder="1" applyAlignment="1">
      <alignment horizontal="center" vertical="center"/>
    </xf>
    <xf numFmtId="165" fontId="1" fillId="0" borderId="12" xfId="3" applyFont="1" applyBorder="1" applyAlignment="1">
      <alignment horizontal="left" vertical="center"/>
    </xf>
    <xf numFmtId="165" fontId="6" fillId="0" borderId="8" xfId="3" applyFont="1" applyBorder="1" applyAlignment="1">
      <alignment vertical="center"/>
    </xf>
    <xf numFmtId="165" fontId="6" fillId="0" borderId="12" xfId="3" applyFont="1" applyBorder="1" applyAlignment="1">
      <alignment vertical="center"/>
    </xf>
    <xf numFmtId="166" fontId="6" fillId="0" borderId="0" xfId="3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" fontId="6" fillId="0" borderId="18" xfId="3" applyNumberFormat="1" applyFont="1" applyBorder="1" applyAlignment="1">
      <alignment horizontal="center" vertical="center"/>
    </xf>
    <xf numFmtId="165" fontId="3" fillId="0" borderId="26" xfId="3" applyFont="1" applyBorder="1" applyAlignment="1">
      <alignment vertical="center"/>
    </xf>
    <xf numFmtId="4" fontId="3" fillId="0" borderId="27" xfId="0" applyNumberFormat="1" applyFont="1" applyBorder="1" applyAlignment="1">
      <alignment vertical="center"/>
    </xf>
    <xf numFmtId="165" fontId="6" fillId="0" borderId="17" xfId="3" applyFont="1" applyBorder="1" applyAlignment="1">
      <alignment vertical="center"/>
    </xf>
    <xf numFmtId="165" fontId="6" fillId="0" borderId="9" xfId="3" applyFont="1" applyBorder="1" applyAlignment="1">
      <alignment vertical="center"/>
    </xf>
    <xf numFmtId="0" fontId="0" fillId="0" borderId="9" xfId="0" applyBorder="1" applyAlignment="1">
      <alignment vertical="center"/>
    </xf>
    <xf numFmtId="1" fontId="6" fillId="0" borderId="10" xfId="3" applyNumberFormat="1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27" xfId="0" applyBorder="1" applyAlignment="1">
      <alignment vertical="center"/>
    </xf>
    <xf numFmtId="1" fontId="3" fillId="0" borderId="29" xfId="3" applyNumberFormat="1" applyFont="1" applyBorder="1" applyAlignment="1">
      <alignment horizontal="center" vertical="center"/>
    </xf>
    <xf numFmtId="165" fontId="12" fillId="0" borderId="1" xfId="3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65" fontId="3" fillId="2" borderId="4" xfId="3" applyNumberFormat="1" applyFont="1" applyFill="1" applyBorder="1" applyAlignment="1">
      <alignment horizontal="center" vertical="center"/>
    </xf>
    <xf numFmtId="165" fontId="6" fillId="0" borderId="1" xfId="3" applyFont="1" applyFill="1" applyBorder="1" applyAlignment="1">
      <alignment horizontal="center" vertical="center"/>
    </xf>
    <xf numFmtId="165" fontId="11" fillId="0" borderId="0" xfId="3" applyFont="1" applyAlignment="1">
      <alignment vertical="center"/>
    </xf>
    <xf numFmtId="43" fontId="6" fillId="0" borderId="0" xfId="0" applyNumberFormat="1" applyFont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2" xfId="3" applyFont="1" applyFill="1" applyBorder="1" applyAlignment="1">
      <alignment horizontal="center" vertical="center"/>
    </xf>
    <xf numFmtId="165" fontId="6" fillId="3" borderId="1" xfId="3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vertical="center"/>
    </xf>
    <xf numFmtId="165" fontId="6" fillId="3" borderId="0" xfId="3" applyFont="1" applyFill="1" applyAlignment="1">
      <alignment vertical="center"/>
    </xf>
    <xf numFmtId="0" fontId="6" fillId="0" borderId="0" xfId="0" applyFont="1" applyAlignment="1">
      <alignment horizontal="right" vertical="center"/>
    </xf>
    <xf numFmtId="166" fontId="6" fillId="0" borderId="1" xfId="3" applyNumberFormat="1" applyFont="1" applyBorder="1" applyAlignment="1">
      <alignment horizontal="center" vertical="center"/>
    </xf>
    <xf numFmtId="165" fontId="6" fillId="3" borderId="1" xfId="3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" fontId="6" fillId="3" borderId="2" xfId="0" applyNumberFormat="1" applyFont="1" applyFill="1" applyBorder="1" applyAlignment="1">
      <alignment horizontal="center" vertical="center"/>
    </xf>
    <xf numFmtId="167" fontId="6" fillId="3" borderId="2" xfId="3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13" fontId="6" fillId="3" borderId="1" xfId="0" applyNumberFormat="1" applyFont="1" applyFill="1" applyBorder="1" applyAlignment="1">
      <alignment horizontal="center" vertical="center"/>
    </xf>
    <xf numFmtId="166" fontId="6" fillId="0" borderId="1" xfId="3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5" fontId="3" fillId="0" borderId="1" xfId="3" applyFont="1" applyBorder="1" applyAlignment="1">
      <alignment horizontal="center" vertical="center"/>
    </xf>
    <xf numFmtId="165" fontId="6" fillId="0" borderId="2" xfId="3" applyFont="1" applyFill="1" applyBorder="1" applyAlignment="1">
      <alignment horizontal="center" vertical="center"/>
    </xf>
    <xf numFmtId="0" fontId="8" fillId="0" borderId="0" xfId="1" applyAlignment="1" applyProtection="1">
      <alignment vertical="center"/>
    </xf>
    <xf numFmtId="0" fontId="3" fillId="0" borderId="0" xfId="0" applyFont="1"/>
    <xf numFmtId="0" fontId="13" fillId="2" borderId="30" xfId="0" applyFont="1" applyFill="1" applyBorder="1" applyAlignment="1">
      <alignment horizontal="center" vertical="center"/>
    </xf>
    <xf numFmtId="0" fontId="13" fillId="2" borderId="31" xfId="0" applyFont="1" applyFill="1" applyBorder="1" applyAlignment="1">
      <alignment horizontal="center" vertical="center"/>
    </xf>
    <xf numFmtId="165" fontId="13" fillId="2" borderId="31" xfId="3" applyFont="1" applyFill="1" applyBorder="1" applyAlignment="1">
      <alignment horizontal="center" vertical="center"/>
    </xf>
    <xf numFmtId="165" fontId="6" fillId="0" borderId="0" xfId="3" applyFont="1" applyFill="1" applyAlignment="1">
      <alignment vertical="center"/>
    </xf>
    <xf numFmtId="3" fontId="6" fillId="3" borderId="1" xfId="0" applyNumberFormat="1" applyFont="1" applyFill="1" applyBorder="1" applyAlignment="1">
      <alignment vertical="center"/>
    </xf>
    <xf numFmtId="164" fontId="3" fillId="0" borderId="32" xfId="0" applyNumberFormat="1" applyFont="1" applyBorder="1" applyAlignment="1">
      <alignment vertical="center"/>
    </xf>
    <xf numFmtId="165" fontId="3" fillId="0" borderId="33" xfId="3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165" fontId="3" fillId="0" borderId="0" xfId="3" applyFont="1" applyAlignment="1">
      <alignment horizontal="center" vertical="center"/>
    </xf>
    <xf numFmtId="165" fontId="3" fillId="0" borderId="3" xfId="3" applyFont="1" applyBorder="1" applyAlignment="1">
      <alignment horizontal="center" vertical="center"/>
    </xf>
    <xf numFmtId="0" fontId="0" fillId="0" borderId="0" xfId="0" applyAlignment="1">
      <alignment horizontal="center"/>
    </xf>
    <xf numFmtId="165" fontId="6" fillId="0" borderId="0" xfId="3" applyFont="1" applyAlignment="1">
      <alignment horizontal="right" vertical="center"/>
    </xf>
    <xf numFmtId="165" fontId="3" fillId="2" borderId="7" xfId="3" applyFont="1" applyFill="1" applyBorder="1" applyAlignment="1">
      <alignment horizontal="center" vertical="center"/>
    </xf>
    <xf numFmtId="165" fontId="3" fillId="0" borderId="12" xfId="3" applyFont="1" applyBorder="1" applyAlignment="1">
      <alignment vertical="center"/>
    </xf>
    <xf numFmtId="165" fontId="3" fillId="0" borderId="8" xfId="0" applyNumberFormat="1" applyFont="1" applyBorder="1" applyAlignment="1">
      <alignment vertical="center"/>
    </xf>
    <xf numFmtId="165" fontId="3" fillId="0" borderId="8" xfId="3" applyFont="1" applyBorder="1" applyAlignment="1">
      <alignment vertical="center"/>
    </xf>
    <xf numFmtId="10" fontId="3" fillId="0" borderId="13" xfId="2" applyNumberFormat="1" applyFont="1" applyBorder="1" applyAlignment="1">
      <alignment vertical="center"/>
    </xf>
    <xf numFmtId="165" fontId="3" fillId="0" borderId="36" xfId="3" applyFont="1" applyBorder="1" applyAlignment="1">
      <alignment vertical="center"/>
    </xf>
    <xf numFmtId="4" fontId="3" fillId="0" borderId="0" xfId="0" applyNumberFormat="1" applyFont="1" applyBorder="1" applyAlignment="1">
      <alignment vertical="center"/>
    </xf>
    <xf numFmtId="165" fontId="6" fillId="0" borderId="37" xfId="3" applyFont="1" applyBorder="1" applyAlignment="1">
      <alignment vertical="center"/>
    </xf>
    <xf numFmtId="165" fontId="6" fillId="0" borderId="38" xfId="3" applyFont="1" applyBorder="1" applyAlignment="1">
      <alignment vertical="center"/>
    </xf>
    <xf numFmtId="165" fontId="6" fillId="0" borderId="39" xfId="3" applyFont="1" applyBorder="1" applyAlignment="1">
      <alignment vertical="center"/>
    </xf>
    <xf numFmtId="0" fontId="6" fillId="0" borderId="39" xfId="0" applyFont="1" applyBorder="1" applyAlignment="1">
      <alignment vertical="center"/>
    </xf>
    <xf numFmtId="1" fontId="6" fillId="0" borderId="35" xfId="3" applyNumberFormat="1" applyFont="1" applyBorder="1" applyAlignment="1">
      <alignment horizontal="center" vertical="center"/>
    </xf>
    <xf numFmtId="165" fontId="3" fillId="0" borderId="12" xfId="3" applyFont="1" applyBorder="1" applyAlignment="1">
      <alignment horizontal="left" vertical="center"/>
    </xf>
    <xf numFmtId="4" fontId="3" fillId="0" borderId="8" xfId="0" applyNumberFormat="1" applyFont="1" applyBorder="1" applyAlignment="1">
      <alignment horizontal="centerContinuous" vertical="center"/>
    </xf>
    <xf numFmtId="4" fontId="0" fillId="0" borderId="0" xfId="0" applyNumberFormat="1" applyBorder="1" applyAlignment="1">
      <alignment vertical="center"/>
    </xf>
    <xf numFmtId="4" fontId="6" fillId="0" borderId="0" xfId="0" applyNumberFormat="1" applyFont="1" applyBorder="1" applyAlignment="1">
      <alignment vertical="center"/>
    </xf>
    <xf numFmtId="165" fontId="6" fillId="6" borderId="1" xfId="3" applyFont="1" applyFill="1" applyBorder="1" applyAlignment="1">
      <alignment horizontal="center" vertical="center"/>
    </xf>
    <xf numFmtId="9" fontId="3" fillId="0" borderId="16" xfId="2" applyFont="1" applyBorder="1" applyAlignment="1">
      <alignment vertical="center"/>
    </xf>
    <xf numFmtId="10" fontId="6" fillId="0" borderId="13" xfId="2" applyNumberFormat="1" applyFont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165" fontId="6" fillId="0" borderId="1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0" fillId="0" borderId="36" xfId="0" applyFill="1" applyBorder="1" applyAlignment="1">
      <alignment vertical="center"/>
    </xf>
    <xf numFmtId="4" fontId="0" fillId="0" borderId="0" xfId="0" applyNumberFormat="1" applyFill="1" applyBorder="1" applyAlignment="1">
      <alignment vertical="center"/>
    </xf>
    <xf numFmtId="165" fontId="0" fillId="0" borderId="0" xfId="3" applyFont="1" applyFill="1" applyBorder="1" applyAlignment="1">
      <alignment vertical="center"/>
    </xf>
    <xf numFmtId="165" fontId="0" fillId="0" borderId="37" xfId="3" applyFont="1" applyFill="1" applyBorder="1" applyAlignment="1">
      <alignment vertical="center"/>
    </xf>
    <xf numFmtId="0" fontId="6" fillId="0" borderId="1" xfId="0" applyNumberFormat="1" applyFont="1" applyBorder="1" applyAlignment="1">
      <alignment horizontal="center" vertical="center"/>
    </xf>
    <xf numFmtId="166" fontId="3" fillId="0" borderId="0" xfId="3" applyNumberFormat="1" applyFont="1" applyBorder="1" applyAlignment="1">
      <alignment horizontal="center" vertical="center"/>
    </xf>
    <xf numFmtId="0" fontId="18" fillId="0" borderId="12" xfId="0" applyFont="1" applyBorder="1"/>
    <xf numFmtId="0" fontId="6" fillId="0" borderId="0" xfId="0" applyFont="1" applyBorder="1"/>
    <xf numFmtId="0" fontId="18" fillId="0" borderId="45" xfId="0" applyFont="1" applyBorder="1"/>
    <xf numFmtId="0" fontId="18" fillId="3" borderId="18" xfId="0" applyFont="1" applyFill="1" applyBorder="1"/>
    <xf numFmtId="0" fontId="18" fillId="0" borderId="21" xfId="0" applyFont="1" applyBorder="1"/>
    <xf numFmtId="0" fontId="18" fillId="0" borderId="46" xfId="0" applyFont="1" applyBorder="1"/>
    <xf numFmtId="0" fontId="18" fillId="0" borderId="18" xfId="0" applyFont="1" applyBorder="1"/>
    <xf numFmtId="0" fontId="18" fillId="0" borderId="26" xfId="0" applyFont="1" applyBorder="1"/>
    <xf numFmtId="2" fontId="19" fillId="7" borderId="1" xfId="0" applyNumberFormat="1" applyFont="1" applyFill="1" applyBorder="1" applyAlignment="1">
      <alignment horizontal="right" vertical="center"/>
    </xf>
    <xf numFmtId="0" fontId="19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2" fontId="19" fillId="7" borderId="34" xfId="0" applyNumberFormat="1" applyFont="1" applyFill="1" applyBorder="1" applyAlignment="1">
      <alignment horizontal="right" vertical="center"/>
    </xf>
    <xf numFmtId="0" fontId="19" fillId="0" borderId="2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18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10" fontId="19" fillId="0" borderId="18" xfId="0" applyNumberFormat="1" applyFont="1" applyBorder="1" applyAlignment="1">
      <alignment horizontal="right" vertical="center"/>
    </xf>
    <xf numFmtId="0" fontId="19" fillId="0" borderId="0" xfId="0" applyFont="1" applyFill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10" fontId="23" fillId="0" borderId="18" xfId="0" applyNumberFormat="1" applyFont="1" applyBorder="1" applyAlignment="1">
      <alignment horizontal="right" vertical="center"/>
    </xf>
    <xf numFmtId="0" fontId="19" fillId="5" borderId="21" xfId="0" applyFont="1" applyFill="1" applyBorder="1" applyAlignment="1">
      <alignment horizontal="left" vertical="center"/>
    </xf>
    <xf numFmtId="0" fontId="23" fillId="5" borderId="1" xfId="0" applyFont="1" applyFill="1" applyBorder="1" applyAlignment="1">
      <alignment horizontal="left" vertical="center"/>
    </xf>
    <xf numFmtId="10" fontId="23" fillId="5" borderId="18" xfId="0" applyNumberFormat="1" applyFont="1" applyFill="1" applyBorder="1" applyAlignment="1">
      <alignment horizontal="right" vertical="center"/>
    </xf>
    <xf numFmtId="0" fontId="24" fillId="0" borderId="1" xfId="0" applyFont="1" applyBorder="1" applyAlignment="1">
      <alignment horizontal="left" vertical="center"/>
    </xf>
    <xf numFmtId="0" fontId="25" fillId="0" borderId="0" xfId="0" applyFont="1" applyFill="1" applyBorder="1" applyAlignment="1">
      <alignment horizontal="left" vertical="center"/>
    </xf>
    <xf numFmtId="10" fontId="6" fillId="0" borderId="0" xfId="0" applyNumberFormat="1" applyFont="1"/>
    <xf numFmtId="9" fontId="19" fillId="0" borderId="0" xfId="2" applyFont="1" applyBorder="1" applyAlignment="1">
      <alignment horizontal="right" vertical="center"/>
    </xf>
    <xf numFmtId="10" fontId="6" fillId="0" borderId="0" xfId="0" applyNumberFormat="1" applyFont="1" applyBorder="1"/>
    <xf numFmtId="0" fontId="19" fillId="0" borderId="1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/>
    </xf>
    <xf numFmtId="0" fontId="19" fillId="9" borderId="22" xfId="0" applyFont="1" applyFill="1" applyBorder="1" applyAlignment="1">
      <alignment horizontal="left" vertical="center"/>
    </xf>
    <xf numFmtId="0" fontId="23" fillId="9" borderId="34" xfId="0" applyFont="1" applyFill="1" applyBorder="1" applyAlignment="1">
      <alignment horizontal="left" vertical="center"/>
    </xf>
    <xf numFmtId="10" fontId="23" fillId="9" borderId="35" xfId="0" applyNumberFormat="1" applyFont="1" applyFill="1" applyBorder="1" applyAlignment="1">
      <alignment horizontal="right" vertical="center"/>
    </xf>
    <xf numFmtId="0" fontId="23" fillId="0" borderId="0" xfId="0" applyFont="1" applyFill="1" applyBorder="1" applyAlignment="1">
      <alignment horizontal="left" vertical="center"/>
    </xf>
    <xf numFmtId="10" fontId="23" fillId="0" borderId="0" xfId="0" applyNumberFormat="1" applyFont="1" applyFill="1" applyBorder="1" applyAlignment="1">
      <alignment horizontal="right" vertical="center"/>
    </xf>
    <xf numFmtId="0" fontId="25" fillId="4" borderId="0" xfId="0" applyFont="1" applyFill="1" applyBorder="1" applyAlignment="1">
      <alignment horizontal="left" vertical="center"/>
    </xf>
    <xf numFmtId="10" fontId="19" fillId="0" borderId="0" xfId="0" applyNumberFormat="1" applyFont="1" applyFill="1" applyBorder="1" applyAlignment="1">
      <alignment horizontal="right" vertical="center"/>
    </xf>
    <xf numFmtId="0" fontId="19" fillId="4" borderId="0" xfId="0" applyFont="1" applyFill="1" applyBorder="1" applyAlignment="1">
      <alignment horizontal="left" vertical="center"/>
    </xf>
    <xf numFmtId="10" fontId="19" fillId="0" borderId="0" xfId="0" applyNumberFormat="1" applyFont="1" applyBorder="1" applyAlignment="1">
      <alignment horizontal="right" vertical="center"/>
    </xf>
    <xf numFmtId="0" fontId="23" fillId="0" borderId="0" xfId="0" applyFont="1" applyBorder="1" applyAlignment="1">
      <alignment horizontal="left" vertical="center"/>
    </xf>
    <xf numFmtId="10" fontId="23" fillId="0" borderId="0" xfId="0" applyNumberFormat="1" applyFont="1" applyBorder="1" applyAlignment="1">
      <alignment horizontal="right" vertical="center"/>
    </xf>
    <xf numFmtId="0" fontId="26" fillId="0" borderId="0" xfId="0" applyFont="1" applyBorder="1" applyAlignment="1">
      <alignment horizontal="justify" vertical="center"/>
    </xf>
    <xf numFmtId="0" fontId="8" fillId="0" borderId="0" xfId="1" applyFont="1" applyBorder="1" applyAlignment="1" applyProtection="1">
      <alignment horizontal="left" vertical="center"/>
    </xf>
    <xf numFmtId="0" fontId="27" fillId="0" borderId="0" xfId="0" applyFont="1" applyBorder="1"/>
    <xf numFmtId="0" fontId="19" fillId="0" borderId="0" xfId="0" applyFont="1" applyBorder="1" applyAlignment="1">
      <alignment horizontal="right" vertical="center"/>
    </xf>
    <xf numFmtId="0" fontId="8" fillId="0" borderId="0" xfId="1" applyFont="1" applyBorder="1" applyAlignment="1" applyProtection="1">
      <alignment vertical="center"/>
    </xf>
    <xf numFmtId="0" fontId="5" fillId="0" borderId="13" xfId="0" applyFont="1" applyBorder="1"/>
    <xf numFmtId="0" fontId="5" fillId="0" borderId="21" xfId="0" applyFont="1" applyBorder="1"/>
    <xf numFmtId="0" fontId="5" fillId="3" borderId="18" xfId="0" applyFont="1" applyFill="1" applyBorder="1"/>
    <xf numFmtId="0" fontId="5" fillId="0" borderId="45" xfId="0" applyFont="1" applyBorder="1"/>
    <xf numFmtId="0" fontId="5" fillId="3" borderId="46" xfId="0" applyFont="1" applyFill="1" applyBorder="1"/>
    <xf numFmtId="0" fontId="5" fillId="0" borderId="47" xfId="0" applyFont="1" applyBorder="1"/>
    <xf numFmtId="0" fontId="5" fillId="3" borderId="48" xfId="0" applyFont="1" applyFill="1" applyBorder="1"/>
    <xf numFmtId="0" fontId="5" fillId="0" borderId="36" xfId="0" applyFont="1" applyBorder="1"/>
    <xf numFmtId="0" fontId="5" fillId="0" borderId="37" xfId="0" applyFont="1" applyBorder="1"/>
    <xf numFmtId="0" fontId="7" fillId="0" borderId="46" xfId="0" applyFont="1" applyBorder="1"/>
    <xf numFmtId="0" fontId="7" fillId="0" borderId="36" xfId="0" applyFont="1" applyFill="1" applyBorder="1" applyAlignment="1">
      <alignment horizontal="left" vertical="center"/>
    </xf>
    <xf numFmtId="0" fontId="5" fillId="0" borderId="0" xfId="0" applyFont="1" applyBorder="1"/>
    <xf numFmtId="9" fontId="5" fillId="0" borderId="21" xfId="2" applyFont="1" applyBorder="1"/>
    <xf numFmtId="9" fontId="5" fillId="0" borderId="1" xfId="2" applyFont="1" applyBorder="1" applyAlignment="1">
      <alignment horizontal="center"/>
    </xf>
    <xf numFmtId="9" fontId="5" fillId="0" borderId="18" xfId="2" applyFont="1" applyBorder="1"/>
    <xf numFmtId="0" fontId="5" fillId="0" borderId="19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horizontal="center" vertical="center"/>
    </xf>
    <xf numFmtId="10" fontId="5" fillId="3" borderId="10" xfId="0" applyNumberFormat="1" applyFont="1" applyFill="1" applyBorder="1" applyAlignment="1">
      <alignment horizontal="center" vertical="center"/>
    </xf>
    <xf numFmtId="10" fontId="5" fillId="0" borderId="18" xfId="2" applyNumberFormat="1" applyFont="1" applyBorder="1"/>
    <xf numFmtId="0" fontId="5" fillId="0" borderId="2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10" fontId="5" fillId="3" borderId="18" xfId="0" applyNumberFormat="1" applyFont="1" applyFill="1" applyBorder="1" applyAlignment="1">
      <alignment horizontal="center" vertical="center"/>
    </xf>
    <xf numFmtId="10" fontId="5" fillId="0" borderId="18" xfId="0" applyNumberFormat="1" applyFont="1" applyFill="1" applyBorder="1" applyAlignment="1">
      <alignment horizontal="center" vertical="center"/>
    </xf>
    <xf numFmtId="10" fontId="5" fillId="3" borderId="1" xfId="2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0" borderId="18" xfId="0" applyFont="1" applyBorder="1"/>
    <xf numFmtId="0" fontId="5" fillId="0" borderId="22" xfId="0" applyFont="1" applyFill="1" applyBorder="1" applyAlignment="1">
      <alignment horizontal="left" vertical="center"/>
    </xf>
    <xf numFmtId="10" fontId="5" fillId="3" borderId="35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3" xfId="0" applyFont="1" applyFill="1" applyBorder="1" applyAlignment="1">
      <alignment vertical="center"/>
    </xf>
    <xf numFmtId="0" fontId="5" fillId="0" borderId="24" xfId="0" applyFont="1" applyFill="1" applyBorder="1" applyAlignment="1">
      <alignment vertical="center"/>
    </xf>
    <xf numFmtId="10" fontId="5" fillId="0" borderId="25" xfId="0" applyNumberFormat="1" applyFont="1" applyFill="1" applyBorder="1" applyAlignment="1">
      <alignment vertical="center"/>
    </xf>
    <xf numFmtId="0" fontId="5" fillId="0" borderId="26" xfId="0" applyFont="1" applyFill="1" applyBorder="1" applyAlignment="1">
      <alignment horizontal="left" vertical="center"/>
    </xf>
    <xf numFmtId="0" fontId="5" fillId="0" borderId="27" xfId="0" applyFont="1" applyFill="1" applyBorder="1" applyAlignment="1">
      <alignment horizontal="left" vertical="center"/>
    </xf>
    <xf numFmtId="0" fontId="5" fillId="0" borderId="28" xfId="0" applyFont="1" applyFill="1" applyBorder="1" applyAlignment="1">
      <alignment vertical="center"/>
    </xf>
    <xf numFmtId="0" fontId="7" fillId="5" borderId="5" xfId="0" applyFont="1" applyFill="1" applyBorder="1" applyAlignment="1">
      <alignment vertical="center" wrapText="1"/>
    </xf>
    <xf numFmtId="0" fontId="5" fillId="5" borderId="6" xfId="0" applyFont="1" applyFill="1" applyBorder="1" applyAlignment="1">
      <alignment vertical="center"/>
    </xf>
    <xf numFmtId="10" fontId="7" fillId="5" borderId="7" xfId="0" applyNumberFormat="1" applyFont="1" applyFill="1" applyBorder="1" applyAlignment="1">
      <alignment horizontal="center" vertical="center" wrapText="1"/>
    </xf>
    <xf numFmtId="10" fontId="5" fillId="0" borderId="21" xfId="2" applyNumberFormat="1" applyFont="1" applyBorder="1" applyAlignment="1">
      <alignment horizontal="right"/>
    </xf>
    <xf numFmtId="10" fontId="5" fillId="0" borderId="1" xfId="2" applyNumberFormat="1" applyFont="1" applyBorder="1" applyAlignment="1">
      <alignment horizontal="right"/>
    </xf>
    <xf numFmtId="10" fontId="5" fillId="0" borderId="18" xfId="2" applyNumberFormat="1" applyFont="1" applyBorder="1" applyAlignment="1">
      <alignment horizontal="right"/>
    </xf>
    <xf numFmtId="10" fontId="5" fillId="0" borderId="22" xfId="2" applyNumberFormat="1" applyFont="1" applyBorder="1" applyAlignment="1">
      <alignment horizontal="right"/>
    </xf>
    <xf numFmtId="10" fontId="5" fillId="0" borderId="34" xfId="2" applyNumberFormat="1" applyFont="1" applyBorder="1" applyAlignment="1">
      <alignment horizontal="right"/>
    </xf>
    <xf numFmtId="10" fontId="5" fillId="0" borderId="35" xfId="2" applyNumberFormat="1" applyFont="1" applyBorder="1" applyAlignment="1">
      <alignment horizontal="right"/>
    </xf>
    <xf numFmtId="0" fontId="6" fillId="0" borderId="50" xfId="0" applyFont="1" applyBorder="1"/>
    <xf numFmtId="0" fontId="20" fillId="0" borderId="50" xfId="0" applyFont="1" applyBorder="1" applyAlignment="1">
      <alignment horizontal="justify"/>
    </xf>
    <xf numFmtId="0" fontId="20" fillId="0" borderId="51" xfId="0" applyFont="1" applyBorder="1" applyAlignment="1">
      <alignment horizontal="justify"/>
    </xf>
    <xf numFmtId="0" fontId="17" fillId="10" borderId="49" xfId="0" applyFont="1" applyFill="1" applyBorder="1" applyAlignment="1">
      <alignment horizontal="center"/>
    </xf>
    <xf numFmtId="1" fontId="6" fillId="0" borderId="0" xfId="3" applyNumberFormat="1" applyFont="1" applyBorder="1" applyAlignment="1">
      <alignment horizontal="center" vertical="center"/>
    </xf>
    <xf numFmtId="168" fontId="3" fillId="0" borderId="1" xfId="0" applyNumberFormat="1" applyFont="1" applyBorder="1" applyAlignment="1">
      <alignment vertical="center"/>
    </xf>
    <xf numFmtId="168" fontId="0" fillId="0" borderId="1" xfId="0" applyNumberFormat="1" applyBorder="1" applyAlignment="1">
      <alignment vertical="center"/>
    </xf>
    <xf numFmtId="168" fontId="3" fillId="0" borderId="34" xfId="0" applyNumberFormat="1" applyFont="1" applyBorder="1" applyAlignment="1">
      <alignment vertical="center"/>
    </xf>
    <xf numFmtId="165" fontId="3" fillId="0" borderId="9" xfId="3" applyFont="1" applyBorder="1" applyAlignment="1">
      <alignment vertical="center"/>
    </xf>
    <xf numFmtId="165" fontId="3" fillId="0" borderId="5" xfId="3" applyFont="1" applyBorder="1" applyAlignment="1">
      <alignment vertical="center"/>
    </xf>
    <xf numFmtId="9" fontId="3" fillId="3" borderId="7" xfId="2" applyFont="1" applyFill="1" applyBorder="1" applyAlignment="1">
      <alignment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7" borderId="1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65" fontId="3" fillId="0" borderId="8" xfId="3" applyFont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 wrapText="1"/>
    </xf>
    <xf numFmtId="167" fontId="6" fillId="0" borderId="1" xfId="3" applyNumberFormat="1" applyFont="1" applyBorder="1" applyAlignment="1">
      <alignment horizontal="center" vertical="center"/>
    </xf>
    <xf numFmtId="166" fontId="3" fillId="0" borderId="1" xfId="3" applyNumberFormat="1" applyFont="1" applyBorder="1" applyAlignment="1">
      <alignment horizontal="center" vertical="center"/>
    </xf>
    <xf numFmtId="167" fontId="3" fillId="0" borderId="1" xfId="3" applyNumberFormat="1" applyFont="1" applyBorder="1" applyAlignment="1">
      <alignment horizontal="center" vertical="center"/>
    </xf>
    <xf numFmtId="167" fontId="6" fillId="0" borderId="2" xfId="3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Font="1"/>
    <xf numFmtId="0" fontId="3" fillId="0" borderId="52" xfId="0" applyFont="1" applyBorder="1" applyAlignment="1">
      <alignment vertical="center"/>
    </xf>
    <xf numFmtId="0" fontId="3" fillId="0" borderId="52" xfId="0" applyFont="1" applyBorder="1" applyAlignment="1">
      <alignment horizontal="center" vertical="center"/>
    </xf>
    <xf numFmtId="165" fontId="3" fillId="0" borderId="52" xfId="3" applyFont="1" applyBorder="1" applyAlignment="1">
      <alignment horizontal="center" vertical="center"/>
    </xf>
    <xf numFmtId="165" fontId="3" fillId="0" borderId="52" xfId="3" applyFont="1" applyFill="1" applyBorder="1" applyAlignment="1">
      <alignment horizontal="center" vertical="center"/>
    </xf>
    <xf numFmtId="4" fontId="1" fillId="0" borderId="0" xfId="0" applyNumberFormat="1" applyFont="1" applyBorder="1" applyAlignment="1">
      <alignment vertical="center"/>
    </xf>
    <xf numFmtId="0" fontId="1" fillId="0" borderId="0" xfId="0" applyFont="1" applyFill="1"/>
    <xf numFmtId="0" fontId="7" fillId="0" borderId="21" xfId="0" applyFont="1" applyBorder="1"/>
    <xf numFmtId="0" fontId="7" fillId="0" borderId="1" xfId="0" applyFont="1" applyBorder="1"/>
    <xf numFmtId="0" fontId="7" fillId="0" borderId="18" xfId="0" applyFont="1" applyBorder="1"/>
    <xf numFmtId="0" fontId="5" fillId="0" borderId="21" xfId="0" applyFont="1" applyFill="1" applyBorder="1"/>
    <xf numFmtId="0" fontId="5" fillId="0" borderId="1" xfId="0" applyFont="1" applyFill="1" applyBorder="1"/>
    <xf numFmtId="0" fontId="5" fillId="0" borderId="1" xfId="0" applyFont="1" applyBorder="1"/>
    <xf numFmtId="170" fontId="24" fillId="0" borderId="18" xfId="3" applyNumberFormat="1" applyFont="1" applyBorder="1" applyAlignment="1">
      <alignment horizontal="center" vertical="center" wrapText="1"/>
    </xf>
    <xf numFmtId="171" fontId="5" fillId="0" borderId="18" xfId="0" applyNumberFormat="1" applyFont="1" applyBorder="1"/>
    <xf numFmtId="2" fontId="5" fillId="0" borderId="18" xfId="0" applyNumberFormat="1" applyFont="1" applyBorder="1"/>
    <xf numFmtId="0" fontId="5" fillId="0" borderId="22" xfId="0" applyFont="1" applyFill="1" applyBorder="1"/>
    <xf numFmtId="0" fontId="5" fillId="0" borderId="34" xfId="0" applyFont="1" applyBorder="1"/>
    <xf numFmtId="171" fontId="5" fillId="3" borderId="18" xfId="0" applyNumberFormat="1" applyFont="1" applyFill="1" applyBorder="1"/>
    <xf numFmtId="171" fontId="5" fillId="0" borderId="35" xfId="0" applyNumberFormat="1" applyFont="1" applyBorder="1"/>
    <xf numFmtId="0" fontId="17" fillId="0" borderId="1" xfId="0" applyFont="1" applyFill="1" applyBorder="1" applyAlignment="1">
      <alignment horizontal="center"/>
    </xf>
    <xf numFmtId="0" fontId="17" fillId="0" borderId="21" xfId="0" applyFont="1" applyFill="1" applyBorder="1" applyAlignment="1">
      <alignment horizontal="center"/>
    </xf>
    <xf numFmtId="0" fontId="17" fillId="0" borderId="18" xfId="0" applyFont="1" applyFill="1" applyBorder="1" applyAlignment="1">
      <alignment horizontal="center"/>
    </xf>
    <xf numFmtId="172" fontId="5" fillId="3" borderId="18" xfId="0" applyNumberFormat="1" applyFont="1" applyFill="1" applyBorder="1"/>
    <xf numFmtId="0" fontId="5" fillId="0" borderId="21" xfId="0" applyFont="1" applyBorder="1" applyAlignment="1">
      <alignment horizontal="right"/>
    </xf>
    <xf numFmtId="4" fontId="32" fillId="0" borderId="0" xfId="0" applyNumberFormat="1" applyFont="1" applyBorder="1" applyAlignment="1">
      <alignment vertical="center"/>
    </xf>
    <xf numFmtId="0" fontId="33" fillId="0" borderId="0" xfId="0" applyFont="1" applyAlignment="1">
      <alignment vertical="center"/>
    </xf>
    <xf numFmtId="4" fontId="33" fillId="0" borderId="0" xfId="0" applyNumberFormat="1" applyFont="1" applyBorder="1" applyAlignment="1">
      <alignment vertical="center"/>
    </xf>
    <xf numFmtId="0" fontId="5" fillId="0" borderId="18" xfId="0" applyFont="1" applyFill="1" applyBorder="1"/>
    <xf numFmtId="0" fontId="31" fillId="0" borderId="0" xfId="0" applyFont="1"/>
    <xf numFmtId="0" fontId="1" fillId="0" borderId="2" xfId="0" applyFont="1" applyBorder="1" applyAlignment="1">
      <alignment vertical="center"/>
    </xf>
    <xf numFmtId="169" fontId="7" fillId="0" borderId="18" xfId="0" applyNumberFormat="1" applyFont="1" applyBorder="1"/>
    <xf numFmtId="9" fontId="18" fillId="0" borderId="18" xfId="2" applyFont="1" applyBorder="1"/>
    <xf numFmtId="10" fontId="18" fillId="0" borderId="18" xfId="2" applyNumberFormat="1" applyFont="1" applyBorder="1"/>
    <xf numFmtId="9" fontId="7" fillId="0" borderId="29" xfId="2" applyFont="1" applyBorder="1"/>
    <xf numFmtId="0" fontId="5" fillId="0" borderId="53" xfId="0" applyFont="1" applyBorder="1"/>
    <xf numFmtId="0" fontId="1" fillId="0" borderId="1" xfId="0" applyFont="1" applyBorder="1" applyAlignment="1">
      <alignment vertical="center"/>
    </xf>
    <xf numFmtId="165" fontId="3" fillId="0" borderId="12" xfId="3" applyFont="1" applyBorder="1" applyAlignment="1">
      <alignment horizontal="left" vertical="center"/>
    </xf>
    <xf numFmtId="165" fontId="1" fillId="0" borderId="0" xfId="3" applyFont="1" applyAlignment="1">
      <alignment vertical="center"/>
    </xf>
    <xf numFmtId="165" fontId="1" fillId="0" borderId="1" xfId="3" applyFont="1" applyBorder="1" applyAlignment="1">
      <alignment horizontal="center" vertical="center"/>
    </xf>
    <xf numFmtId="165" fontId="1" fillId="0" borderId="0" xfId="3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3" fontId="1" fillId="3" borderId="1" xfId="0" applyNumberFormat="1" applyFont="1" applyFill="1" applyBorder="1" applyAlignment="1">
      <alignment horizontal="right" vertical="center"/>
    </xf>
    <xf numFmtId="165" fontId="1" fillId="3" borderId="2" xfId="3" applyFont="1" applyFill="1" applyBorder="1" applyAlignment="1">
      <alignment horizontal="center" vertical="center"/>
    </xf>
    <xf numFmtId="13" fontId="1" fillId="3" borderId="1" xfId="0" applyNumberFormat="1" applyFont="1" applyFill="1" applyBorder="1" applyAlignment="1">
      <alignment horizontal="center" vertical="center"/>
    </xf>
    <xf numFmtId="165" fontId="1" fillId="0" borderId="0" xfId="3" applyFont="1" applyAlignment="1">
      <alignment horizontal="right" vertical="center"/>
    </xf>
    <xf numFmtId="173" fontId="1" fillId="0" borderId="1" xfId="3" applyNumberFormat="1" applyFont="1" applyBorder="1" applyAlignment="1">
      <alignment vertical="center"/>
    </xf>
    <xf numFmtId="165" fontId="3" fillId="4" borderId="0" xfId="3" applyFont="1" applyFill="1" applyBorder="1" applyAlignment="1">
      <alignment horizontal="center" vertical="center"/>
    </xf>
    <xf numFmtId="173" fontId="1" fillId="0" borderId="0" xfId="3" applyNumberFormat="1" applyFont="1" applyBorder="1" applyAlignment="1">
      <alignment vertical="center"/>
    </xf>
    <xf numFmtId="165" fontId="3" fillId="4" borderId="4" xfId="3" applyNumberFormat="1" applyFont="1" applyFill="1" applyBorder="1" applyAlignment="1">
      <alignment horizontal="center" vertical="center"/>
    </xf>
    <xf numFmtId="1" fontId="1" fillId="0" borderId="1" xfId="3" applyNumberFormat="1" applyFont="1" applyFill="1" applyBorder="1" applyAlignment="1">
      <alignment horizontal="center" vertical="center"/>
    </xf>
    <xf numFmtId="44" fontId="1" fillId="3" borderId="1" xfId="4" applyFont="1" applyFill="1" applyBorder="1" applyAlignment="1">
      <alignment horizontal="center" vertical="center"/>
    </xf>
    <xf numFmtId="44" fontId="1" fillId="3" borderId="1" xfId="4" applyFont="1" applyFill="1" applyBorder="1" applyAlignment="1">
      <alignment vertical="center"/>
    </xf>
    <xf numFmtId="0" fontId="2" fillId="0" borderId="54" xfId="0" applyFont="1" applyBorder="1" applyAlignment="1">
      <alignment vertical="center"/>
    </xf>
    <xf numFmtId="44" fontId="3" fillId="2" borderId="4" xfId="4" applyFont="1" applyFill="1" applyBorder="1" applyAlignment="1">
      <alignment vertical="center"/>
    </xf>
    <xf numFmtId="165" fontId="3" fillId="4" borderId="0" xfId="3" applyFont="1" applyFill="1" applyBorder="1" applyAlignment="1">
      <alignment vertical="center"/>
    </xf>
    <xf numFmtId="165" fontId="1" fillId="0" borderId="0" xfId="3" applyFont="1" applyBorder="1" applyAlignment="1">
      <alignment vertical="center"/>
    </xf>
    <xf numFmtId="0" fontId="35" fillId="0" borderId="0" xfId="0" applyFont="1" applyBorder="1" applyAlignment="1">
      <alignment vertical="center"/>
    </xf>
    <xf numFmtId="165" fontId="36" fillId="0" borderId="0" xfId="3" applyFont="1" applyBorder="1" applyAlignment="1">
      <alignment vertical="center"/>
    </xf>
    <xf numFmtId="0" fontId="36" fillId="4" borderId="0" xfId="0" applyFont="1" applyFill="1" applyBorder="1" applyAlignment="1">
      <alignment horizontal="right" vertical="center"/>
    </xf>
    <xf numFmtId="0" fontId="36" fillId="0" borderId="0" xfId="0" applyFont="1" applyBorder="1" applyAlignment="1">
      <alignment horizontal="center" vertical="center"/>
    </xf>
    <xf numFmtId="0" fontId="36" fillId="8" borderId="0" xfId="0" applyFont="1" applyFill="1" applyBorder="1" applyAlignment="1">
      <alignment horizontal="right" vertical="center"/>
    </xf>
    <xf numFmtId="0" fontId="3" fillId="0" borderId="0" xfId="5" applyFont="1" applyAlignment="1">
      <alignment vertical="center"/>
    </xf>
    <xf numFmtId="0" fontId="1" fillId="0" borderId="0" xfId="5" applyFont="1" applyAlignment="1">
      <alignment vertical="center"/>
    </xf>
    <xf numFmtId="165" fontId="1" fillId="0" borderId="0" xfId="6" applyFont="1" applyAlignment="1">
      <alignment vertical="center"/>
    </xf>
    <xf numFmtId="4" fontId="1" fillId="0" borderId="0" xfId="5" applyNumberFormat="1" applyFont="1" applyBorder="1" applyAlignment="1">
      <alignment vertical="center"/>
    </xf>
    <xf numFmtId="0" fontId="17" fillId="0" borderId="0" xfId="7" applyFont="1" applyAlignment="1">
      <alignment vertical="center"/>
    </xf>
    <xf numFmtId="4" fontId="1" fillId="0" borderId="0" xfId="5" applyNumberFormat="1" applyAlignment="1">
      <alignment vertical="center"/>
    </xf>
    <xf numFmtId="165" fontId="0" fillId="0" borderId="0" xfId="6" applyFont="1" applyAlignment="1">
      <alignment vertical="center"/>
    </xf>
    <xf numFmtId="0" fontId="1" fillId="0" borderId="36" xfId="5" applyFill="1" applyBorder="1" applyAlignment="1">
      <alignment vertical="center"/>
    </xf>
    <xf numFmtId="4" fontId="1" fillId="0" borderId="0" xfId="5" applyNumberFormat="1" applyFill="1" applyBorder="1" applyAlignment="1">
      <alignment vertical="center"/>
    </xf>
    <xf numFmtId="165" fontId="0" fillId="0" borderId="0" xfId="6" applyFont="1" applyFill="1" applyBorder="1" applyAlignment="1">
      <alignment vertical="center"/>
    </xf>
    <xf numFmtId="165" fontId="0" fillId="0" borderId="37" xfId="6" applyFont="1" applyFill="1" applyBorder="1" applyAlignment="1">
      <alignment vertical="center"/>
    </xf>
    <xf numFmtId="165" fontId="3" fillId="0" borderId="17" xfId="6" applyFont="1" applyBorder="1" applyAlignment="1">
      <alignment horizontal="center" vertical="center"/>
    </xf>
    <xf numFmtId="165" fontId="0" fillId="0" borderId="9" xfId="6" applyFont="1" applyBorder="1" applyAlignment="1">
      <alignment vertical="center"/>
    </xf>
    <xf numFmtId="165" fontId="3" fillId="0" borderId="9" xfId="6" applyFont="1" applyBorder="1" applyAlignment="1">
      <alignment vertical="center"/>
    </xf>
    <xf numFmtId="165" fontId="3" fillId="0" borderId="33" xfId="6" applyFont="1" applyBorder="1" applyAlignment="1">
      <alignment vertical="center"/>
    </xf>
    <xf numFmtId="165" fontId="3" fillId="0" borderId="10" xfId="6" applyFont="1" applyBorder="1" applyAlignment="1">
      <alignment horizontal="center" vertical="center"/>
    </xf>
    <xf numFmtId="165" fontId="3" fillId="0" borderId="12" xfId="6" applyFont="1" applyBorder="1" applyAlignment="1">
      <alignment horizontal="left" vertical="center"/>
    </xf>
    <xf numFmtId="4" fontId="3" fillId="0" borderId="8" xfId="5" applyNumberFormat="1" applyFont="1" applyBorder="1" applyAlignment="1">
      <alignment horizontal="centerContinuous" vertical="center"/>
    </xf>
    <xf numFmtId="165" fontId="3" fillId="0" borderId="8" xfId="6" applyFont="1" applyBorder="1" applyAlignment="1">
      <alignment vertical="center"/>
    </xf>
    <xf numFmtId="168" fontId="3" fillId="0" borderId="1" xfId="5" applyNumberFormat="1" applyFont="1" applyBorder="1" applyAlignment="1">
      <alignment vertical="center"/>
    </xf>
    <xf numFmtId="10" fontId="3" fillId="0" borderId="13" xfId="8" applyNumberFormat="1" applyFont="1" applyBorder="1" applyAlignment="1">
      <alignment vertical="center"/>
    </xf>
    <xf numFmtId="168" fontId="3" fillId="0" borderId="34" xfId="5" applyNumberFormat="1" applyFont="1" applyBorder="1" applyAlignment="1">
      <alignment vertical="center"/>
    </xf>
    <xf numFmtId="165" fontId="3" fillId="0" borderId="5" xfId="6" applyFont="1" applyBorder="1" applyAlignment="1">
      <alignment horizontal="left" vertical="center"/>
    </xf>
    <xf numFmtId="4" fontId="3" fillId="0" borderId="6" xfId="5" applyNumberFormat="1" applyFont="1" applyBorder="1" applyAlignment="1">
      <alignment horizontal="centerContinuous" vertical="center"/>
    </xf>
    <xf numFmtId="165" fontId="3" fillId="0" borderId="6" xfId="6" applyFont="1" applyBorder="1" applyAlignment="1">
      <alignment vertical="center"/>
    </xf>
    <xf numFmtId="164" fontId="3" fillId="0" borderId="32" xfId="5" applyNumberFormat="1" applyFont="1" applyBorder="1" applyAlignment="1">
      <alignment vertical="center"/>
    </xf>
    <xf numFmtId="9" fontId="3" fillId="0" borderId="16" xfId="8" applyFont="1" applyBorder="1" applyAlignment="1">
      <alignment vertical="center"/>
    </xf>
    <xf numFmtId="0" fontId="3" fillId="0" borderId="0" xfId="5" applyFont="1" applyBorder="1" applyAlignment="1">
      <alignment vertical="center"/>
    </xf>
    <xf numFmtId="165" fontId="3" fillId="0" borderId="0" xfId="6" applyFont="1" applyBorder="1" applyAlignment="1">
      <alignment vertical="center"/>
    </xf>
    <xf numFmtId="165" fontId="3" fillId="0" borderId="0" xfId="6" applyFont="1" applyFill="1" applyBorder="1" applyAlignment="1">
      <alignment horizontal="center" vertical="center"/>
    </xf>
    <xf numFmtId="0" fontId="13" fillId="2" borderId="14" xfId="5" applyFont="1" applyFill="1" applyBorder="1" applyAlignment="1">
      <alignment horizontal="center" vertical="center"/>
    </xf>
    <xf numFmtId="0" fontId="13" fillId="2" borderId="15" xfId="5" applyFont="1" applyFill="1" applyBorder="1" applyAlignment="1">
      <alignment horizontal="center" vertical="center"/>
    </xf>
    <xf numFmtId="165" fontId="13" fillId="2" borderId="15" xfId="6" applyFont="1" applyFill="1" applyBorder="1" applyAlignment="1">
      <alignment horizontal="center" vertical="center"/>
    </xf>
    <xf numFmtId="165" fontId="13" fillId="2" borderId="16" xfId="6" applyFont="1" applyFill="1" applyBorder="1" applyAlignment="1">
      <alignment horizontal="center" vertical="center"/>
    </xf>
    <xf numFmtId="0" fontId="1" fillId="0" borderId="1" xfId="5" applyFont="1" applyBorder="1" applyAlignment="1">
      <alignment vertical="center"/>
    </xf>
    <xf numFmtId="0" fontId="1" fillId="0" borderId="1" xfId="5" applyFont="1" applyBorder="1" applyAlignment="1">
      <alignment horizontal="center" vertical="center"/>
    </xf>
    <xf numFmtId="43" fontId="1" fillId="3" borderId="1" xfId="5" applyNumberFormat="1" applyFont="1" applyFill="1" applyBorder="1" applyAlignment="1">
      <alignment vertical="center"/>
    </xf>
    <xf numFmtId="165" fontId="1" fillId="3" borderId="2" xfId="6" applyFont="1" applyFill="1" applyBorder="1" applyAlignment="1">
      <alignment horizontal="center" vertical="center"/>
    </xf>
    <xf numFmtId="165" fontId="1" fillId="0" borderId="1" xfId="6" applyFont="1" applyBorder="1" applyAlignment="1">
      <alignment horizontal="center" vertical="center"/>
    </xf>
    <xf numFmtId="165" fontId="1" fillId="0" borderId="0" xfId="6" applyFont="1" applyFill="1" applyBorder="1" applyAlignment="1">
      <alignment horizontal="center" vertical="center"/>
    </xf>
    <xf numFmtId="165" fontId="3" fillId="2" borderId="4" xfId="6" applyFont="1" applyFill="1" applyBorder="1" applyAlignment="1">
      <alignment horizontal="center" vertical="center"/>
    </xf>
    <xf numFmtId="0" fontId="3" fillId="0" borderId="5" xfId="5" applyFont="1" applyBorder="1" applyAlignment="1">
      <alignment vertical="center"/>
    </xf>
    <xf numFmtId="0" fontId="3" fillId="0" borderId="6" xfId="5" applyFont="1" applyBorder="1" applyAlignment="1">
      <alignment vertical="center"/>
    </xf>
    <xf numFmtId="165" fontId="3" fillId="0" borderId="7" xfId="6" applyFont="1" applyBorder="1" applyAlignment="1">
      <alignment vertical="center"/>
    </xf>
    <xf numFmtId="0" fontId="1" fillId="0" borderId="6" xfId="5" applyFont="1" applyBorder="1" applyAlignment="1">
      <alignment vertical="center"/>
    </xf>
    <xf numFmtId="165" fontId="1" fillId="0" borderId="6" xfId="6" applyFont="1" applyBorder="1" applyAlignment="1">
      <alignment vertical="center"/>
    </xf>
    <xf numFmtId="165" fontId="1" fillId="0" borderId="7" xfId="6" applyFont="1" applyBorder="1" applyAlignment="1">
      <alignment vertical="center"/>
    </xf>
    <xf numFmtId="165" fontId="3" fillId="2" borderId="4" xfId="6" applyFont="1" applyFill="1" applyBorder="1" applyAlignment="1">
      <alignment vertical="center"/>
    </xf>
    <xf numFmtId="0" fontId="1" fillId="0" borderId="2" xfId="5" applyFont="1" applyBorder="1" applyAlignment="1">
      <alignment vertical="center"/>
    </xf>
    <xf numFmtId="0" fontId="1" fillId="0" borderId="2" xfId="5" applyFont="1" applyBorder="1" applyAlignment="1">
      <alignment horizontal="center" vertical="center"/>
    </xf>
    <xf numFmtId="165" fontId="1" fillId="6" borderId="1" xfId="6" applyFont="1" applyFill="1" applyBorder="1" applyAlignment="1">
      <alignment horizontal="center" vertical="center"/>
    </xf>
    <xf numFmtId="165" fontId="1" fillId="0" borderId="2" xfId="6" applyFont="1" applyBorder="1" applyAlignment="1">
      <alignment horizontal="center" vertical="center"/>
    </xf>
    <xf numFmtId="0" fontId="3" fillId="0" borderId="23" xfId="5" applyFont="1" applyBorder="1" applyAlignment="1">
      <alignment vertical="center"/>
    </xf>
    <xf numFmtId="0" fontId="1" fillId="0" borderId="24" xfId="5" applyFont="1" applyBorder="1" applyAlignment="1">
      <alignment vertical="center"/>
    </xf>
    <xf numFmtId="165" fontId="1" fillId="0" borderId="24" xfId="6" applyFont="1" applyBorder="1" applyAlignment="1">
      <alignment vertical="center"/>
    </xf>
    <xf numFmtId="165" fontId="1" fillId="0" borderId="25" xfId="6" applyFont="1" applyBorder="1" applyAlignment="1">
      <alignment vertical="center"/>
    </xf>
    <xf numFmtId="165" fontId="3" fillId="2" borderId="49" xfId="6" applyFont="1" applyFill="1" applyBorder="1" applyAlignment="1">
      <alignment vertical="center"/>
    </xf>
    <xf numFmtId="0" fontId="4" fillId="0" borderId="55" xfId="5" applyFont="1" applyBorder="1" applyAlignment="1">
      <alignment vertical="center"/>
    </xf>
    <xf numFmtId="0" fontId="4" fillId="0" borderId="8" xfId="5" applyFont="1" applyBorder="1" applyAlignment="1">
      <alignment vertical="center"/>
    </xf>
    <xf numFmtId="43" fontId="4" fillId="0" borderId="8" xfId="5" applyNumberFormat="1" applyFont="1" applyFill="1" applyBorder="1" applyAlignment="1">
      <alignment vertical="center"/>
    </xf>
    <xf numFmtId="165" fontId="4" fillId="0" borderId="8" xfId="6" applyFont="1" applyFill="1" applyBorder="1" applyAlignment="1">
      <alignment vertical="center"/>
    </xf>
    <xf numFmtId="165" fontId="4" fillId="0" borderId="56" xfId="6" applyFont="1" applyBorder="1" applyAlignment="1">
      <alignment vertical="center"/>
    </xf>
    <xf numFmtId="0" fontId="3" fillId="0" borderId="0" xfId="7" applyFont="1" applyAlignment="1">
      <alignment vertical="center"/>
    </xf>
    <xf numFmtId="0" fontId="5" fillId="0" borderId="0" xfId="7" applyFont="1" applyFill="1" applyAlignment="1">
      <alignment vertical="center"/>
    </xf>
    <xf numFmtId="0" fontId="5" fillId="0" borderId="0" xfId="7" applyFont="1"/>
    <xf numFmtId="0" fontId="5" fillId="0" borderId="0" xfId="7" applyFont="1" applyAlignment="1">
      <alignment horizontal="center"/>
    </xf>
    <xf numFmtId="4" fontId="1" fillId="0" borderId="0" xfId="7" applyNumberFormat="1" applyFont="1" applyBorder="1" applyAlignment="1">
      <alignment vertical="center"/>
    </xf>
    <xf numFmtId="0" fontId="1" fillId="0" borderId="0" xfId="7" applyFont="1" applyAlignment="1">
      <alignment vertical="center"/>
    </xf>
    <xf numFmtId="4" fontId="33" fillId="0" borderId="0" xfId="7" applyNumberFormat="1" applyFont="1" applyBorder="1" applyAlignment="1">
      <alignment vertical="center"/>
    </xf>
    <xf numFmtId="4" fontId="34" fillId="0" borderId="0" xfId="7" applyNumberFormat="1" applyBorder="1" applyAlignment="1">
      <alignment vertical="center"/>
    </xf>
    <xf numFmtId="4" fontId="4" fillId="0" borderId="0" xfId="7" applyNumberFormat="1" applyFont="1" applyBorder="1" applyAlignment="1">
      <alignment vertical="center"/>
    </xf>
    <xf numFmtId="4" fontId="34" fillId="0" borderId="0" xfId="7" applyNumberFormat="1" applyAlignment="1">
      <alignment vertical="center"/>
    </xf>
    <xf numFmtId="0" fontId="4" fillId="0" borderId="36" xfId="7" applyFont="1" applyFill="1" applyBorder="1" applyAlignment="1">
      <alignment horizontal="center" vertical="center"/>
    </xf>
    <xf numFmtId="0" fontId="4" fillId="0" borderId="0" xfId="7" applyFont="1" applyFill="1" applyBorder="1" applyAlignment="1">
      <alignment horizontal="center" vertical="center"/>
    </xf>
    <xf numFmtId="0" fontId="4" fillId="0" borderId="37" xfId="7" applyFont="1" applyFill="1" applyBorder="1" applyAlignment="1">
      <alignment horizontal="center" vertical="center"/>
    </xf>
    <xf numFmtId="0" fontId="7" fillId="0" borderId="36" xfId="7" applyFont="1" applyFill="1" applyBorder="1" applyAlignment="1">
      <alignment horizontal="left" vertical="center"/>
    </xf>
    <xf numFmtId="0" fontId="5" fillId="0" borderId="0" xfId="7" applyFont="1" applyFill="1" applyBorder="1" applyAlignment="1">
      <alignment vertical="center"/>
    </xf>
    <xf numFmtId="0" fontId="5" fillId="0" borderId="36" xfId="7" applyFont="1" applyBorder="1"/>
    <xf numFmtId="0" fontId="5" fillId="0" borderId="0" xfId="7" applyFont="1" applyBorder="1"/>
    <xf numFmtId="9" fontId="5" fillId="0" borderId="21" xfId="8" applyFont="1" applyBorder="1"/>
    <xf numFmtId="9" fontId="5" fillId="0" borderId="1" xfId="8" applyFont="1" applyBorder="1" applyAlignment="1">
      <alignment horizontal="center"/>
    </xf>
    <xf numFmtId="9" fontId="5" fillId="0" borderId="18" xfId="8" applyFont="1" applyBorder="1"/>
    <xf numFmtId="0" fontId="5" fillId="0" borderId="19" xfId="7" applyFont="1" applyFill="1" applyBorder="1" applyAlignment="1">
      <alignment horizontal="left" vertical="center"/>
    </xf>
    <xf numFmtId="0" fontId="5" fillId="0" borderId="20" xfId="7" applyFont="1" applyFill="1" applyBorder="1" applyAlignment="1">
      <alignment horizontal="center" vertical="center"/>
    </xf>
    <xf numFmtId="10" fontId="5" fillId="3" borderId="10" xfId="7" applyNumberFormat="1" applyFont="1" applyFill="1" applyBorder="1" applyAlignment="1">
      <alignment horizontal="center" vertical="center"/>
    </xf>
    <xf numFmtId="10" fontId="5" fillId="0" borderId="21" xfId="8" applyNumberFormat="1" applyFont="1" applyBorder="1" applyAlignment="1">
      <alignment horizontal="right"/>
    </xf>
    <xf numFmtId="10" fontId="5" fillId="0" borderId="1" xfId="8" applyNumberFormat="1" applyFont="1" applyBorder="1" applyAlignment="1">
      <alignment horizontal="right"/>
    </xf>
    <xf numFmtId="10" fontId="5" fillId="0" borderId="18" xfId="8" applyNumberFormat="1" applyFont="1" applyBorder="1" applyAlignment="1">
      <alignment horizontal="right"/>
    </xf>
    <xf numFmtId="0" fontId="5" fillId="0" borderId="21" xfId="7" applyFont="1" applyFill="1" applyBorder="1" applyAlignment="1">
      <alignment horizontal="left" vertical="center"/>
    </xf>
    <xf numFmtId="0" fontId="5" fillId="0" borderId="1" xfId="7" applyFont="1" applyFill="1" applyBorder="1" applyAlignment="1">
      <alignment horizontal="center" vertical="center"/>
    </xf>
    <xf numFmtId="10" fontId="5" fillId="3" borderId="18" xfId="7" applyNumberFormat="1" applyFont="1" applyFill="1" applyBorder="1" applyAlignment="1">
      <alignment horizontal="center" vertical="center"/>
    </xf>
    <xf numFmtId="10" fontId="5" fillId="0" borderId="18" xfId="7" applyNumberFormat="1" applyFont="1" applyFill="1" applyBorder="1" applyAlignment="1">
      <alignment horizontal="center" vertical="center"/>
    </xf>
    <xf numFmtId="10" fontId="5" fillId="3" borderId="1" xfId="8" applyNumberFormat="1" applyFont="1" applyFill="1" applyBorder="1" applyAlignment="1">
      <alignment horizontal="center"/>
    </xf>
    <xf numFmtId="10" fontId="5" fillId="0" borderId="18" xfId="8" applyNumberFormat="1" applyFont="1" applyBorder="1"/>
    <xf numFmtId="0" fontId="5" fillId="0" borderId="21" xfId="7" applyFont="1" applyBorder="1" applyAlignment="1">
      <alignment horizontal="right"/>
    </xf>
    <xf numFmtId="0" fontId="5" fillId="3" borderId="1" xfId="7" applyFont="1" applyFill="1" applyBorder="1" applyAlignment="1">
      <alignment horizontal="center"/>
    </xf>
    <xf numFmtId="0" fontId="5" fillId="0" borderId="18" xfId="7" applyFont="1" applyBorder="1"/>
    <xf numFmtId="0" fontId="5" fillId="0" borderId="22" xfId="7" applyFont="1" applyFill="1" applyBorder="1" applyAlignment="1">
      <alignment horizontal="left" vertical="center"/>
    </xf>
    <xf numFmtId="10" fontId="5" fillId="3" borderId="35" xfId="7" applyNumberFormat="1" applyFont="1" applyFill="1" applyBorder="1" applyAlignment="1">
      <alignment horizontal="center" vertical="center"/>
    </xf>
    <xf numFmtId="0" fontId="5" fillId="0" borderId="21" xfId="7" applyFont="1" applyBorder="1"/>
    <xf numFmtId="0" fontId="5" fillId="0" borderId="1" xfId="7" applyFont="1" applyBorder="1" applyAlignment="1">
      <alignment horizontal="center"/>
    </xf>
    <xf numFmtId="0" fontId="5" fillId="0" borderId="23" xfId="7" applyFont="1" applyFill="1" applyBorder="1" applyAlignment="1">
      <alignment vertical="center"/>
    </xf>
    <xf numFmtId="0" fontId="5" fillId="0" borderId="24" xfId="7" applyFont="1" applyFill="1" applyBorder="1" applyAlignment="1">
      <alignment vertical="center"/>
    </xf>
    <xf numFmtId="10" fontId="5" fillId="0" borderId="25" xfId="7" applyNumberFormat="1" applyFont="1" applyFill="1" applyBorder="1" applyAlignment="1">
      <alignment vertical="center"/>
    </xf>
    <xf numFmtId="0" fontId="5" fillId="0" borderId="26" xfId="7" applyFont="1" applyFill="1" applyBorder="1" applyAlignment="1">
      <alignment horizontal="left" vertical="center"/>
    </xf>
    <xf numFmtId="0" fontId="5" fillId="0" borderId="27" xfId="7" applyFont="1" applyFill="1" applyBorder="1" applyAlignment="1">
      <alignment horizontal="left" vertical="center"/>
    </xf>
    <xf numFmtId="0" fontId="5" fillId="0" borderId="28" xfId="7" applyFont="1" applyFill="1" applyBorder="1" applyAlignment="1">
      <alignment vertical="center"/>
    </xf>
    <xf numFmtId="0" fontId="7" fillId="5" borderId="5" xfId="7" applyFont="1" applyFill="1" applyBorder="1" applyAlignment="1">
      <alignment vertical="center" wrapText="1"/>
    </xf>
    <xf numFmtId="0" fontId="5" fillId="5" borderId="6" xfId="7" applyFont="1" applyFill="1" applyBorder="1" applyAlignment="1">
      <alignment vertical="center"/>
    </xf>
    <xf numFmtId="10" fontId="7" fillId="5" borderId="7" xfId="7" applyNumberFormat="1" applyFont="1" applyFill="1" applyBorder="1" applyAlignment="1">
      <alignment horizontal="center" vertical="center" wrapText="1"/>
    </xf>
    <xf numFmtId="10" fontId="5" fillId="0" borderId="22" xfId="8" applyNumberFormat="1" applyFont="1" applyBorder="1" applyAlignment="1">
      <alignment horizontal="right"/>
    </xf>
    <xf numFmtId="10" fontId="5" fillId="0" borderId="34" xfId="8" applyNumberFormat="1" applyFont="1" applyBorder="1" applyAlignment="1">
      <alignment horizontal="right"/>
    </xf>
    <xf numFmtId="10" fontId="5" fillId="0" borderId="35" xfId="8" applyNumberFormat="1" applyFont="1" applyBorder="1" applyAlignment="1">
      <alignment horizontal="right"/>
    </xf>
    <xf numFmtId="0" fontId="36" fillId="0" borderId="23" xfId="0" applyFont="1" applyBorder="1" applyAlignment="1">
      <alignment vertical="center"/>
    </xf>
    <xf numFmtId="0" fontId="35" fillId="0" borderId="24" xfId="0" applyFont="1" applyBorder="1" applyAlignment="1">
      <alignment vertical="center"/>
    </xf>
    <xf numFmtId="0" fontId="36" fillId="8" borderId="24" xfId="0" applyFont="1" applyFill="1" applyBorder="1" applyAlignment="1">
      <alignment horizontal="right" vertical="center"/>
    </xf>
    <xf numFmtId="165" fontId="36" fillId="8" borderId="25" xfId="3" applyFont="1" applyFill="1" applyBorder="1" applyAlignment="1">
      <alignment vertical="center"/>
    </xf>
    <xf numFmtId="0" fontId="35" fillId="0" borderId="36" xfId="0" applyFont="1" applyBorder="1" applyAlignment="1">
      <alignment vertical="center"/>
    </xf>
    <xf numFmtId="165" fontId="36" fillId="0" borderId="37" xfId="3" applyFont="1" applyBorder="1" applyAlignment="1">
      <alignment vertical="center"/>
    </xf>
    <xf numFmtId="0" fontId="36" fillId="0" borderId="36" xfId="0" applyFont="1" applyBorder="1" applyAlignment="1">
      <alignment vertical="center"/>
    </xf>
    <xf numFmtId="165" fontId="36" fillId="8" borderId="37" xfId="3" applyFont="1" applyFill="1" applyBorder="1" applyAlignment="1">
      <alignment vertical="center"/>
    </xf>
    <xf numFmtId="165" fontId="36" fillId="4" borderId="37" xfId="3" applyFont="1" applyFill="1" applyBorder="1" applyAlignment="1">
      <alignment vertical="center"/>
    </xf>
    <xf numFmtId="165" fontId="36" fillId="8" borderId="37" xfId="3" applyFont="1" applyFill="1" applyBorder="1" applyAlignment="1">
      <alignment horizontal="center" vertical="center"/>
    </xf>
    <xf numFmtId="0" fontId="36" fillId="0" borderId="36" xfId="0" applyFont="1" applyBorder="1" applyAlignment="1">
      <alignment horizontal="center" vertical="center"/>
    </xf>
    <xf numFmtId="165" fontId="36" fillId="4" borderId="37" xfId="3" applyFont="1" applyFill="1" applyBorder="1" applyAlignment="1">
      <alignment horizontal="center" vertical="center"/>
    </xf>
    <xf numFmtId="165" fontId="36" fillId="8" borderId="27" xfId="3" applyFont="1" applyFill="1" applyBorder="1" applyAlignment="1">
      <alignment horizontal="right" vertical="center"/>
    </xf>
    <xf numFmtId="165" fontId="36" fillId="8" borderId="28" xfId="3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6" fillId="0" borderId="36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36" fillId="0" borderId="36" xfId="0" applyFont="1" applyBorder="1" applyAlignment="1">
      <alignment horizontal="left" vertical="center"/>
    </xf>
    <xf numFmtId="0" fontId="36" fillId="0" borderId="0" xfId="0" applyFont="1" applyBorder="1" applyAlignment="1">
      <alignment horizontal="left" vertical="center"/>
    </xf>
    <xf numFmtId="0" fontId="36" fillId="0" borderId="26" xfId="0" applyFont="1" applyBorder="1" applyAlignment="1">
      <alignment vertical="center"/>
    </xf>
    <xf numFmtId="0" fontId="36" fillId="0" borderId="27" xfId="0" applyFont="1" applyBorder="1" applyAlignment="1">
      <alignment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165" fontId="3" fillId="0" borderId="12" xfId="3" applyFont="1" applyBorder="1" applyAlignment="1">
      <alignment horizontal="left" vertical="center"/>
    </xf>
    <xf numFmtId="165" fontId="3" fillId="0" borderId="8" xfId="3" applyFont="1" applyBorder="1" applyAlignment="1">
      <alignment horizontal="left" vertical="center"/>
    </xf>
    <xf numFmtId="0" fontId="17" fillId="8" borderId="23" xfId="0" applyFont="1" applyFill="1" applyBorder="1" applyAlignment="1">
      <alignment horizontal="center" vertical="center"/>
    </xf>
    <xf numFmtId="0" fontId="17" fillId="8" borderId="24" xfId="0" applyFont="1" applyFill="1" applyBorder="1" applyAlignment="1">
      <alignment horizontal="center" vertical="center"/>
    </xf>
    <xf numFmtId="0" fontId="17" fillId="8" borderId="25" xfId="0" applyFont="1" applyFill="1" applyBorder="1" applyAlignment="1">
      <alignment horizontal="center" vertical="center"/>
    </xf>
    <xf numFmtId="0" fontId="7" fillId="8" borderId="42" xfId="0" applyFont="1" applyFill="1" applyBorder="1" applyAlignment="1">
      <alignment horizontal="center" vertical="center"/>
    </xf>
    <xf numFmtId="0" fontId="7" fillId="8" borderId="40" xfId="0" applyFont="1" applyFill="1" applyBorder="1" applyAlignment="1">
      <alignment horizontal="center" vertical="center"/>
    </xf>
    <xf numFmtId="0" fontId="7" fillId="8" borderId="43" xfId="0" applyFont="1" applyFill="1" applyBorder="1" applyAlignment="1">
      <alignment horizontal="center" vertical="center"/>
    </xf>
    <xf numFmtId="165" fontId="3" fillId="0" borderId="5" xfId="3" applyFont="1" applyBorder="1" applyAlignment="1">
      <alignment horizontal="center" vertical="center"/>
    </xf>
    <xf numFmtId="165" fontId="3" fillId="0" borderId="6" xfId="3" applyFont="1" applyBorder="1" applyAlignment="1">
      <alignment horizontal="center" vertical="center"/>
    </xf>
    <xf numFmtId="165" fontId="3" fillId="0" borderId="41" xfId="3" applyFont="1" applyBorder="1" applyAlignment="1">
      <alignment horizontal="center" vertical="center"/>
    </xf>
    <xf numFmtId="165" fontId="4" fillId="8" borderId="5" xfId="3" applyFont="1" applyFill="1" applyBorder="1" applyAlignment="1">
      <alignment horizontal="center" vertical="center"/>
    </xf>
    <xf numFmtId="165" fontId="4" fillId="8" borderId="6" xfId="3" applyFont="1" applyFill="1" applyBorder="1" applyAlignment="1">
      <alignment horizontal="center" vertical="center"/>
    </xf>
    <xf numFmtId="165" fontId="4" fillId="8" borderId="7" xfId="3" applyFont="1" applyFill="1" applyBorder="1" applyAlignment="1">
      <alignment horizontal="center" vertical="center"/>
    </xf>
    <xf numFmtId="0" fontId="17" fillId="8" borderId="19" xfId="0" applyFont="1" applyFill="1" applyBorder="1" applyAlignment="1">
      <alignment horizontal="center" vertical="center"/>
    </xf>
    <xf numFmtId="0" fontId="17" fillId="8" borderId="20" xfId="0" applyFont="1" applyFill="1" applyBorder="1" applyAlignment="1">
      <alignment horizontal="center" vertical="center"/>
    </xf>
    <xf numFmtId="0" fontId="17" fillId="8" borderId="10" xfId="0" applyFont="1" applyFill="1" applyBorder="1" applyAlignment="1">
      <alignment horizontal="center" vertical="center"/>
    </xf>
    <xf numFmtId="0" fontId="17" fillId="10" borderId="17" xfId="0" applyFont="1" applyFill="1" applyBorder="1" applyAlignment="1">
      <alignment horizontal="center"/>
    </xf>
    <xf numFmtId="0" fontId="17" fillId="10" borderId="44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9" fontId="7" fillId="0" borderId="19" xfId="2" applyFont="1" applyBorder="1" applyAlignment="1">
      <alignment horizontal="center"/>
    </xf>
    <xf numFmtId="9" fontId="7" fillId="0" borderId="20" xfId="2" applyFont="1" applyBorder="1" applyAlignment="1">
      <alignment horizontal="center"/>
    </xf>
    <xf numFmtId="9" fontId="7" fillId="0" borderId="10" xfId="2" applyFont="1" applyBorder="1" applyAlignment="1">
      <alignment horizontal="center"/>
    </xf>
    <xf numFmtId="0" fontId="4" fillId="10" borderId="23" xfId="0" applyFont="1" applyFill="1" applyBorder="1" applyAlignment="1">
      <alignment horizontal="center" vertical="center"/>
    </xf>
    <xf numFmtId="0" fontId="4" fillId="10" borderId="24" xfId="0" applyFont="1" applyFill="1" applyBorder="1" applyAlignment="1">
      <alignment horizontal="center" vertical="center"/>
    </xf>
    <xf numFmtId="0" fontId="4" fillId="10" borderId="25" xfId="0" applyFont="1" applyFill="1" applyBorder="1" applyAlignment="1">
      <alignment horizontal="center" vertical="center"/>
    </xf>
    <xf numFmtId="0" fontId="4" fillId="10" borderId="5" xfId="0" applyFont="1" applyFill="1" applyBorder="1" applyAlignment="1">
      <alignment horizontal="center" vertical="center"/>
    </xf>
    <xf numFmtId="0" fontId="4" fillId="10" borderId="6" xfId="0" applyFont="1" applyFill="1" applyBorder="1" applyAlignment="1">
      <alignment horizontal="center" vertical="center"/>
    </xf>
    <xf numFmtId="0" fontId="17" fillId="10" borderId="19" xfId="0" applyFont="1" applyFill="1" applyBorder="1" applyAlignment="1">
      <alignment horizontal="center"/>
    </xf>
    <xf numFmtId="0" fontId="17" fillId="10" borderId="20" xfId="0" applyFont="1" applyFill="1" applyBorder="1" applyAlignment="1">
      <alignment horizontal="center"/>
    </xf>
    <xf numFmtId="0" fontId="17" fillId="10" borderId="10" xfId="0" applyFont="1" applyFill="1" applyBorder="1" applyAlignment="1">
      <alignment horizontal="center"/>
    </xf>
    <xf numFmtId="0" fontId="17" fillId="8" borderId="23" xfId="5" applyFont="1" applyFill="1" applyBorder="1" applyAlignment="1">
      <alignment horizontal="center" vertical="center"/>
    </xf>
    <xf numFmtId="0" fontId="17" fillId="8" borderId="24" xfId="5" applyFont="1" applyFill="1" applyBorder="1" applyAlignment="1">
      <alignment horizontal="center" vertical="center"/>
    </xf>
    <xf numFmtId="0" fontId="17" fillId="8" borderId="25" xfId="5" applyFont="1" applyFill="1" applyBorder="1" applyAlignment="1">
      <alignment horizontal="center" vertical="center"/>
    </xf>
    <xf numFmtId="0" fontId="7" fillId="8" borderId="42" xfId="5" applyFont="1" applyFill="1" applyBorder="1" applyAlignment="1">
      <alignment horizontal="center" vertical="center"/>
    </xf>
    <xf numFmtId="0" fontId="7" fillId="8" borderId="40" xfId="5" applyFont="1" applyFill="1" applyBorder="1" applyAlignment="1">
      <alignment horizontal="center" vertical="center"/>
    </xf>
    <xf numFmtId="0" fontId="7" fillId="8" borderId="43" xfId="5" applyFont="1" applyFill="1" applyBorder="1" applyAlignment="1">
      <alignment horizontal="center" vertical="center"/>
    </xf>
    <xf numFmtId="165" fontId="4" fillId="8" borderId="5" xfId="6" applyFont="1" applyFill="1" applyBorder="1" applyAlignment="1">
      <alignment horizontal="center" vertical="center"/>
    </xf>
    <xf numFmtId="165" fontId="4" fillId="8" borderId="6" xfId="6" applyFont="1" applyFill="1" applyBorder="1" applyAlignment="1">
      <alignment horizontal="center" vertical="center"/>
    </xf>
    <xf numFmtId="165" fontId="4" fillId="8" borderId="7" xfId="6" applyFont="1" applyFill="1" applyBorder="1" applyAlignment="1">
      <alignment horizontal="center" vertical="center"/>
    </xf>
    <xf numFmtId="0" fontId="4" fillId="10" borderId="23" xfId="7" applyFont="1" applyFill="1" applyBorder="1" applyAlignment="1">
      <alignment horizontal="center" vertical="center"/>
    </xf>
    <xf numFmtId="0" fontId="4" fillId="10" borderId="24" xfId="7" applyFont="1" applyFill="1" applyBorder="1" applyAlignment="1">
      <alignment horizontal="center" vertical="center"/>
    </xf>
    <xf numFmtId="0" fontId="4" fillId="10" borderId="25" xfId="7" applyFont="1" applyFill="1" applyBorder="1" applyAlignment="1">
      <alignment horizontal="center" vertical="center"/>
    </xf>
    <xf numFmtId="9" fontId="7" fillId="0" borderId="19" xfId="8" applyFont="1" applyBorder="1" applyAlignment="1">
      <alignment horizontal="center"/>
    </xf>
    <xf numFmtId="9" fontId="7" fillId="0" borderId="20" xfId="8" applyFont="1" applyBorder="1" applyAlignment="1">
      <alignment horizontal="center"/>
    </xf>
    <xf numFmtId="9" fontId="7" fillId="0" borderId="10" xfId="8" applyFont="1" applyBorder="1" applyAlignment="1">
      <alignment horizontal="center"/>
    </xf>
    <xf numFmtId="0" fontId="5" fillId="0" borderId="1" xfId="7" applyFont="1" applyFill="1" applyBorder="1" applyAlignment="1">
      <alignment horizontal="center" vertical="center"/>
    </xf>
    <xf numFmtId="0" fontId="5" fillId="0" borderId="34" xfId="7" applyFont="1" applyFill="1" applyBorder="1" applyAlignment="1">
      <alignment horizontal="center" vertical="center"/>
    </xf>
  </cellXfs>
  <cellStyles count="9">
    <cellStyle name="Hiperlink" xfId="1" builtinId="8"/>
    <cellStyle name="Moeda 2" xfId="4"/>
    <cellStyle name="Normal" xfId="0" builtinId="0"/>
    <cellStyle name="Normal 2" xfId="7"/>
    <cellStyle name="Normal 2 2" xfId="5"/>
    <cellStyle name="Porcentagem" xfId="2" builtinId="5"/>
    <cellStyle name="Porcentagem 2" xfId="8"/>
    <cellStyle name="Vírgula" xfId="3" builtinId="3"/>
    <cellStyle name="Vírgula 2" xfId="6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4</xdr:row>
      <xdr:rowOff>28575</xdr:rowOff>
    </xdr:from>
    <xdr:to>
      <xdr:col>0</xdr:col>
      <xdr:colOff>1419225</xdr:colOff>
      <xdr:row>6</xdr:row>
      <xdr:rowOff>66675</xdr:rowOff>
    </xdr:to>
    <xdr:pic>
      <xdr:nvPicPr>
        <xdr:cNvPr id="650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419100"/>
          <a:ext cx="12858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85725</xdr:colOff>
      <xdr:row>7</xdr:row>
      <xdr:rowOff>9525</xdr:rowOff>
    </xdr:from>
    <xdr:to>
      <xdr:col>0</xdr:col>
      <xdr:colOff>2124075</xdr:colOff>
      <xdr:row>9</xdr:row>
      <xdr:rowOff>57150</xdr:rowOff>
    </xdr:to>
    <xdr:pic>
      <xdr:nvPicPr>
        <xdr:cNvPr id="65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885825"/>
          <a:ext cx="20383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J299"/>
  <sheetViews>
    <sheetView tabSelected="1" view="pageBreakPreview" zoomScaleNormal="100" zoomScaleSheetLayoutView="100" workbookViewId="0">
      <selection activeCell="F252" sqref="F252"/>
    </sheetView>
  </sheetViews>
  <sheetFormatPr defaultRowHeight="12.75" x14ac:dyDescent="0.2"/>
  <cols>
    <col min="1" max="1" width="44.5703125" style="9" customWidth="1"/>
    <col min="2" max="2" width="16" style="9" bestFit="1" customWidth="1"/>
    <col min="3" max="3" width="11.85546875" style="9" customWidth="1"/>
    <col min="4" max="4" width="14.7109375" style="10" customWidth="1"/>
    <col min="5" max="5" width="15.42578125" style="10" customWidth="1"/>
    <col min="6" max="6" width="16.85546875" style="10" customWidth="1"/>
    <col min="7" max="7" width="28.140625" style="10" customWidth="1"/>
    <col min="8" max="8" width="9.140625" style="9"/>
    <col min="9" max="9" width="14.5703125" style="9" customWidth="1"/>
    <col min="10" max="10" width="13.42578125" style="9" customWidth="1"/>
    <col min="11" max="16384" width="9.140625" style="9"/>
  </cols>
  <sheetData>
    <row r="3" spans="1:7" ht="15.75" x14ac:dyDescent="0.2">
      <c r="A3" s="295"/>
    </row>
    <row r="4" spans="1:7" ht="15.75" x14ac:dyDescent="0.2">
      <c r="A4" s="295"/>
    </row>
    <row r="5" spans="1:7" s="4" customFormat="1" ht="15.6" customHeight="1" x14ac:dyDescent="0.2">
      <c r="A5" s="294"/>
      <c r="C5" s="135"/>
      <c r="D5" s="135"/>
      <c r="E5" s="135"/>
      <c r="F5" s="135"/>
      <c r="G5" s="6"/>
    </row>
    <row r="6" spans="1:7" s="4" customFormat="1" ht="15.6" customHeight="1" x14ac:dyDescent="0.2">
      <c r="A6" s="293"/>
      <c r="B6" s="135"/>
      <c r="C6" s="135"/>
      <c r="D6" s="135"/>
      <c r="E6" s="135"/>
      <c r="F6" s="135"/>
      <c r="G6" s="6"/>
    </row>
    <row r="7" spans="1:7" s="4" customFormat="1" ht="15.6" customHeight="1" x14ac:dyDescent="0.2">
      <c r="A7" s="457" t="s">
        <v>292</v>
      </c>
      <c r="B7" s="457"/>
      <c r="C7" s="457"/>
      <c r="D7" s="457"/>
      <c r="E7" s="457"/>
      <c r="F7" s="457"/>
      <c r="G7" s="6"/>
    </row>
    <row r="8" spans="1:7" s="4" customFormat="1" ht="15.6" customHeight="1" x14ac:dyDescent="0.2">
      <c r="A8" s="458" t="s">
        <v>293</v>
      </c>
      <c r="B8" s="458"/>
      <c r="C8" s="458"/>
      <c r="D8" s="458"/>
      <c r="E8" s="458"/>
      <c r="F8" s="458"/>
      <c r="G8" s="6"/>
    </row>
    <row r="9" spans="1:7" s="4" customFormat="1" ht="15.6" customHeight="1" x14ac:dyDescent="0.2">
      <c r="A9" s="295"/>
      <c r="B9" s="135"/>
      <c r="C9" s="135"/>
      <c r="D9" s="135"/>
      <c r="E9" s="135"/>
      <c r="F9" s="135"/>
      <c r="G9" s="6"/>
    </row>
    <row r="10" spans="1:7" s="4" customFormat="1" ht="16.5" customHeight="1" thickBot="1" x14ac:dyDescent="0.25">
      <c r="A10" s="7"/>
      <c r="B10" s="5"/>
      <c r="C10" s="5"/>
      <c r="D10" s="6"/>
      <c r="E10" s="6"/>
      <c r="F10" s="6"/>
      <c r="G10" s="6"/>
    </row>
    <row r="11" spans="1:7" s="8" customFormat="1" ht="18" x14ac:dyDescent="0.2">
      <c r="A11" s="469" t="s">
        <v>188</v>
      </c>
      <c r="B11" s="470"/>
      <c r="C11" s="470"/>
      <c r="D11" s="470"/>
      <c r="E11" s="470"/>
      <c r="F11" s="471"/>
      <c r="G11" s="36"/>
    </row>
    <row r="12" spans="1:7" s="8" customFormat="1" ht="21.75" customHeight="1" x14ac:dyDescent="0.2">
      <c r="A12" s="472" t="s">
        <v>39</v>
      </c>
      <c r="B12" s="473"/>
      <c r="C12" s="473"/>
      <c r="D12" s="473"/>
      <c r="E12" s="473"/>
      <c r="F12" s="474"/>
      <c r="G12" s="36"/>
    </row>
    <row r="13" spans="1:7" s="4" customFormat="1" ht="10.9" customHeight="1" thickBot="1" x14ac:dyDescent="0.25">
      <c r="A13" s="146"/>
      <c r="B13" s="147"/>
      <c r="C13" s="147"/>
      <c r="D13" s="148"/>
      <c r="E13" s="148"/>
      <c r="F13" s="149"/>
      <c r="G13" s="6"/>
    </row>
    <row r="14" spans="1:7" s="4" customFormat="1" ht="15.75" customHeight="1" thickBot="1" x14ac:dyDescent="0.25">
      <c r="A14" s="478" t="s">
        <v>176</v>
      </c>
      <c r="B14" s="479"/>
      <c r="C14" s="479"/>
      <c r="D14" s="479"/>
      <c r="E14" s="479"/>
      <c r="F14" s="480"/>
      <c r="G14" s="6"/>
    </row>
    <row r="15" spans="1:7" s="4" customFormat="1" ht="15.75" customHeight="1" x14ac:dyDescent="0.2">
      <c r="A15" s="64" t="s">
        <v>175</v>
      </c>
      <c r="B15" s="40"/>
      <c r="C15" s="40"/>
      <c r="D15" s="250"/>
      <c r="E15" s="114" t="s">
        <v>34</v>
      </c>
      <c r="F15" s="41" t="s">
        <v>1</v>
      </c>
      <c r="G15" s="6"/>
    </row>
    <row r="16" spans="1:7" s="11" customFormat="1" ht="15.75" customHeight="1" x14ac:dyDescent="0.2">
      <c r="A16" s="122" t="str">
        <f>A51</f>
        <v>1. Mão-de-obra</v>
      </c>
      <c r="B16" s="123"/>
      <c r="C16" s="124"/>
      <c r="D16" s="124"/>
      <c r="E16" s="247">
        <f>+F101</f>
        <v>0</v>
      </c>
      <c r="F16" s="125">
        <f t="shared" ref="F16:F35" si="0">IFERROR(E16/$E$36,0)</f>
        <v>0</v>
      </c>
      <c r="G16" s="44"/>
    </row>
    <row r="17" spans="1:7" s="4" customFormat="1" ht="15.75" customHeight="1" x14ac:dyDescent="0.2">
      <c r="A17" s="49" t="str">
        <f>A53</f>
        <v>1.1. Coletor Turno Dia</v>
      </c>
      <c r="B17" s="45"/>
      <c r="C17" s="47"/>
      <c r="D17" s="47"/>
      <c r="E17" s="248">
        <f>F61</f>
        <v>0</v>
      </c>
      <c r="F17" s="58">
        <f t="shared" si="0"/>
        <v>0</v>
      </c>
      <c r="G17" s="6"/>
    </row>
    <row r="18" spans="1:7" s="4" customFormat="1" ht="15.75" customHeight="1" x14ac:dyDescent="0.2">
      <c r="A18" s="49" t="str">
        <f>A63</f>
        <v>1.2. Motorista Turno do Dia</v>
      </c>
      <c r="B18" s="45"/>
      <c r="C18" s="47"/>
      <c r="D18" s="47"/>
      <c r="E18" s="248">
        <f>F73</f>
        <v>0</v>
      </c>
      <c r="F18" s="58">
        <f t="shared" si="0"/>
        <v>0</v>
      </c>
      <c r="G18" s="6"/>
    </row>
    <row r="19" spans="1:7" s="4" customFormat="1" ht="15.75" customHeight="1" x14ac:dyDescent="0.2">
      <c r="A19" s="49" t="str">
        <f>A76</f>
        <v>1.3. Vale Transporte</v>
      </c>
      <c r="B19" s="45"/>
      <c r="C19" s="47"/>
      <c r="D19" s="47"/>
      <c r="E19" s="248">
        <f>F82</f>
        <v>0</v>
      </c>
      <c r="F19" s="58">
        <f t="shared" si="0"/>
        <v>0</v>
      </c>
      <c r="G19" s="6"/>
    </row>
    <row r="20" spans="1:7" s="4" customFormat="1" ht="15.75" customHeight="1" x14ac:dyDescent="0.2">
      <c r="A20" s="49" t="str">
        <f>A84</f>
        <v>1.4. Vale-refeição (diário)</v>
      </c>
      <c r="B20" s="45"/>
      <c r="C20" s="47"/>
      <c r="D20" s="47"/>
      <c r="E20" s="248">
        <f>F88</f>
        <v>0</v>
      </c>
      <c r="F20" s="58">
        <f t="shared" si="0"/>
        <v>0</v>
      </c>
      <c r="G20" s="6"/>
    </row>
    <row r="21" spans="1:7" s="4" customFormat="1" ht="15.75" customHeight="1" x14ac:dyDescent="0.2">
      <c r="A21" s="49" t="str">
        <f>A90</f>
        <v>1.5. Auxílio Alimentação (mensal)</v>
      </c>
      <c r="B21" s="45"/>
      <c r="C21" s="47"/>
      <c r="D21" s="47"/>
      <c r="E21" s="248">
        <f>F93</f>
        <v>0</v>
      </c>
      <c r="F21" s="58">
        <f t="shared" si="0"/>
        <v>0</v>
      </c>
      <c r="G21" s="6"/>
    </row>
    <row r="22" spans="1:7" s="4" customFormat="1" ht="15.75" customHeight="1" x14ac:dyDescent="0.2">
      <c r="A22" s="49" t="str">
        <f>A96</f>
        <v xml:space="preserve">1.6. Plano de Benefício Social  </v>
      </c>
      <c r="B22" s="45"/>
      <c r="C22" s="47"/>
      <c r="D22" s="47"/>
      <c r="E22" s="248">
        <f>F99</f>
        <v>0</v>
      </c>
      <c r="F22" s="58">
        <f t="shared" si="0"/>
        <v>0</v>
      </c>
      <c r="G22" s="6"/>
    </row>
    <row r="23" spans="1:7" s="11" customFormat="1" ht="15.75" customHeight="1" x14ac:dyDescent="0.2">
      <c r="A23" s="467" t="str">
        <f>A103</f>
        <v>2. Uniformes e Equipamentos de Proteção Individual</v>
      </c>
      <c r="B23" s="468"/>
      <c r="C23" s="468"/>
      <c r="D23" s="124"/>
      <c r="E23" s="247">
        <f>+F133</f>
        <v>0</v>
      </c>
      <c r="F23" s="125">
        <f t="shared" si="0"/>
        <v>0</v>
      </c>
      <c r="G23" s="44"/>
    </row>
    <row r="24" spans="1:7" s="11" customFormat="1" ht="15.75" customHeight="1" x14ac:dyDescent="0.2">
      <c r="A24" s="133" t="str">
        <f>A135</f>
        <v>3. Veículos e Equipamentos</v>
      </c>
      <c r="B24" s="134"/>
      <c r="C24" s="124"/>
      <c r="D24" s="124"/>
      <c r="E24" s="247">
        <f>+F202</f>
        <v>0</v>
      </c>
      <c r="F24" s="125">
        <f t="shared" si="0"/>
        <v>0</v>
      </c>
      <c r="G24" s="44"/>
    </row>
    <row r="25" spans="1:7" s="4" customFormat="1" ht="15.75" customHeight="1" x14ac:dyDescent="0.2">
      <c r="A25" s="65" t="str">
        <f>A137</f>
        <v>3.1. Veículo Coletor 20 m³</v>
      </c>
      <c r="B25" s="46"/>
      <c r="C25" s="47"/>
      <c r="D25" s="47"/>
      <c r="E25" s="248">
        <f>SUM(E26:E31)</f>
        <v>0</v>
      </c>
      <c r="F25" s="139">
        <f t="shared" si="0"/>
        <v>0</v>
      </c>
      <c r="G25" s="6"/>
    </row>
    <row r="26" spans="1:7" s="4" customFormat="1" ht="15.75" customHeight="1" x14ac:dyDescent="0.2">
      <c r="A26" s="65" t="str">
        <f>A139</f>
        <v>3.1.1. Depreciação</v>
      </c>
      <c r="B26" s="46"/>
      <c r="C26" s="47"/>
      <c r="D26" s="47"/>
      <c r="E26" s="248">
        <f>F148</f>
        <v>0</v>
      </c>
      <c r="F26" s="139">
        <f t="shared" si="0"/>
        <v>0</v>
      </c>
      <c r="G26" s="6"/>
    </row>
    <row r="27" spans="1:7" s="4" customFormat="1" ht="15.75" customHeight="1" x14ac:dyDescent="0.2">
      <c r="A27" s="65" t="str">
        <f>A150</f>
        <v>3.1.2. Remuneração do Capital</v>
      </c>
      <c r="B27" s="46"/>
      <c r="C27" s="47"/>
      <c r="D27" s="47"/>
      <c r="E27" s="248">
        <f>F159</f>
        <v>0</v>
      </c>
      <c r="F27" s="139">
        <f t="shared" si="0"/>
        <v>0</v>
      </c>
      <c r="G27" s="6"/>
    </row>
    <row r="28" spans="1:7" s="4" customFormat="1" ht="15.75" customHeight="1" x14ac:dyDescent="0.2">
      <c r="A28" s="65" t="str">
        <f>A161</f>
        <v>3.1.3. Impostos e Seguros</v>
      </c>
      <c r="B28" s="46"/>
      <c r="C28" s="47"/>
      <c r="D28" s="47"/>
      <c r="E28" s="248">
        <f>F167</f>
        <v>0</v>
      </c>
      <c r="F28" s="139">
        <f t="shared" si="0"/>
        <v>0</v>
      </c>
      <c r="G28" s="6"/>
    </row>
    <row r="29" spans="1:7" s="4" customFormat="1" ht="15.75" customHeight="1" x14ac:dyDescent="0.2">
      <c r="A29" s="65" t="str">
        <f>A169</f>
        <v>3.1.4. Consumos</v>
      </c>
      <c r="B29" s="46"/>
      <c r="C29" s="47"/>
      <c r="D29" s="47"/>
      <c r="E29" s="248">
        <f>F185</f>
        <v>0</v>
      </c>
      <c r="F29" s="139">
        <f t="shared" si="0"/>
        <v>0</v>
      </c>
      <c r="G29" s="6"/>
    </row>
    <row r="30" spans="1:7" s="4" customFormat="1" ht="15.75" customHeight="1" x14ac:dyDescent="0.2">
      <c r="A30" s="65" t="str">
        <f>A187</f>
        <v>3.1.5. Manutenção</v>
      </c>
      <c r="B30" s="46"/>
      <c r="C30" s="47"/>
      <c r="D30" s="47"/>
      <c r="E30" s="248">
        <f>F190</f>
        <v>0</v>
      </c>
      <c r="F30" s="139">
        <f t="shared" si="0"/>
        <v>0</v>
      </c>
      <c r="G30" s="6"/>
    </row>
    <row r="31" spans="1:7" s="4" customFormat="1" ht="15.75" customHeight="1" x14ac:dyDescent="0.2">
      <c r="A31" s="65" t="str">
        <f>A192</f>
        <v>3.1.6. Pneus</v>
      </c>
      <c r="B31" s="46"/>
      <c r="C31" s="47"/>
      <c r="D31" s="47"/>
      <c r="E31" s="248">
        <f>F199</f>
        <v>0</v>
      </c>
      <c r="F31" s="139">
        <f t="shared" si="0"/>
        <v>0</v>
      </c>
      <c r="G31" s="6"/>
    </row>
    <row r="32" spans="1:7" s="11" customFormat="1" ht="15.75" customHeight="1" x14ac:dyDescent="0.2">
      <c r="A32" s="133" t="str">
        <f>A204</f>
        <v>4. Ferramentas e Materiais de Consumo</v>
      </c>
      <c r="B32" s="134"/>
      <c r="C32" s="124"/>
      <c r="D32" s="124"/>
      <c r="E32" s="247">
        <f>+F212</f>
        <v>0</v>
      </c>
      <c r="F32" s="125">
        <f t="shared" si="0"/>
        <v>0</v>
      </c>
      <c r="G32" s="44"/>
    </row>
    <row r="33" spans="1:7" s="11" customFormat="1" ht="15.75" customHeight="1" x14ac:dyDescent="0.2">
      <c r="A33" s="305" t="str">
        <f>A214</f>
        <v xml:space="preserve">5. Administração Local </v>
      </c>
      <c r="B33" s="134"/>
      <c r="C33" s="124"/>
      <c r="D33" s="124"/>
      <c r="E33" s="247">
        <f>+F221</f>
        <v>0</v>
      </c>
      <c r="F33" s="125">
        <f t="shared" si="0"/>
        <v>0</v>
      </c>
      <c r="G33" s="44"/>
    </row>
    <row r="34" spans="1:7" s="11" customFormat="1" ht="15.75" customHeight="1" x14ac:dyDescent="0.2">
      <c r="A34" s="133" t="str">
        <f>A223</f>
        <v>6. Monitoramento da Frota</v>
      </c>
      <c r="B34" s="134"/>
      <c r="C34" s="124"/>
      <c r="D34" s="124"/>
      <c r="E34" s="247">
        <f>+F232</f>
        <v>0</v>
      </c>
      <c r="F34" s="125">
        <f t="shared" si="0"/>
        <v>0</v>
      </c>
      <c r="G34" s="44"/>
    </row>
    <row r="35" spans="1:7" s="11" customFormat="1" ht="15.75" customHeight="1" thickBot="1" x14ac:dyDescent="0.25">
      <c r="A35" s="133" t="str">
        <f>A236</f>
        <v>7. Benefícios e Despesas Indiretas - BDI</v>
      </c>
      <c r="B35" s="134"/>
      <c r="C35" s="124"/>
      <c r="D35" s="124"/>
      <c r="E35" s="249">
        <f>+F242</f>
        <v>0</v>
      </c>
      <c r="F35" s="125">
        <f t="shared" si="0"/>
        <v>0</v>
      </c>
      <c r="G35" s="44"/>
    </row>
    <row r="36" spans="1:7" s="4" customFormat="1" ht="15.75" customHeight="1" thickBot="1" x14ac:dyDescent="0.25">
      <c r="A36" s="42" t="s">
        <v>208</v>
      </c>
      <c r="B36" s="43"/>
      <c r="C36" s="26"/>
      <c r="D36" s="26"/>
      <c r="E36" s="113">
        <f>E16+E23+E24+E32+E33+E34+E35</f>
        <v>0</v>
      </c>
      <c r="F36" s="138">
        <f>F16+F23+F24+F32+F33+F34+F35</f>
        <v>0</v>
      </c>
      <c r="G36" s="6"/>
    </row>
    <row r="38" spans="1:7" ht="13.5" thickBot="1" x14ac:dyDescent="0.25"/>
    <row r="39" spans="1:7" s="4" customFormat="1" ht="15" customHeight="1" thickBot="1" x14ac:dyDescent="0.25">
      <c r="A39" s="478" t="s">
        <v>90</v>
      </c>
      <c r="B39" s="479"/>
      <c r="C39" s="479"/>
      <c r="D39" s="479"/>
      <c r="E39" s="480"/>
      <c r="F39" s="10"/>
      <c r="G39" s="6"/>
    </row>
    <row r="40" spans="1:7" s="4" customFormat="1" ht="15" customHeight="1" thickBot="1" x14ac:dyDescent="0.25">
      <c r="A40" s="475" t="s">
        <v>35</v>
      </c>
      <c r="B40" s="476"/>
      <c r="C40" s="476"/>
      <c r="D40" s="477"/>
      <c r="E40" s="48" t="s">
        <v>36</v>
      </c>
      <c r="F40" s="10"/>
      <c r="G40" s="6"/>
    </row>
    <row r="41" spans="1:7" s="4" customFormat="1" ht="15" customHeight="1" x14ac:dyDescent="0.2">
      <c r="A41" s="73" t="str">
        <f>+A53</f>
        <v>1.1. Coletor Turno Dia</v>
      </c>
      <c r="B41" s="74"/>
      <c r="C41" s="74"/>
      <c r="D41" s="75"/>
      <c r="E41" s="76">
        <v>3</v>
      </c>
      <c r="F41" s="10"/>
      <c r="G41" s="6"/>
    </row>
    <row r="42" spans="1:7" s="4" customFormat="1" ht="15" customHeight="1" x14ac:dyDescent="0.2">
      <c r="A42" s="67" t="str">
        <f>+A63</f>
        <v>1.2. Motorista Turno do Dia</v>
      </c>
      <c r="B42" s="66"/>
      <c r="C42" s="66"/>
      <c r="D42" s="77"/>
      <c r="E42" s="70">
        <v>1</v>
      </c>
      <c r="F42" s="10"/>
      <c r="G42" s="6"/>
    </row>
    <row r="43" spans="1:7" s="4" customFormat="1" ht="15" customHeight="1" thickBot="1" x14ac:dyDescent="0.25">
      <c r="A43" s="71" t="s">
        <v>54</v>
      </c>
      <c r="B43" s="72"/>
      <c r="C43" s="72"/>
      <c r="D43" s="78"/>
      <c r="E43" s="79">
        <f>SUM(E41:E42)</f>
        <v>4</v>
      </c>
      <c r="F43" s="10"/>
      <c r="G43" s="6"/>
    </row>
    <row r="44" spans="1:7" s="4" customFormat="1" ht="15" customHeight="1" thickBot="1" x14ac:dyDescent="0.25">
      <c r="A44" s="126"/>
      <c r="B44" s="127"/>
      <c r="C44" s="59"/>
      <c r="D44" s="59"/>
      <c r="E44" s="128"/>
      <c r="F44" s="10"/>
      <c r="G44" s="6"/>
    </row>
    <row r="45" spans="1:7" s="4" customFormat="1" ht="15" customHeight="1" x14ac:dyDescent="0.2">
      <c r="A45" s="465" t="s">
        <v>52</v>
      </c>
      <c r="B45" s="466"/>
      <c r="C45" s="466"/>
      <c r="D45" s="466"/>
      <c r="E45" s="48" t="s">
        <v>36</v>
      </c>
      <c r="F45" s="9"/>
      <c r="G45" s="6"/>
    </row>
    <row r="46" spans="1:7" s="4" customFormat="1" ht="15" customHeight="1" thickBot="1" x14ac:dyDescent="0.25">
      <c r="A46" s="129" t="str">
        <f>+A137</f>
        <v>3.1. Veículo Coletor 20 m³</v>
      </c>
      <c r="B46" s="130"/>
      <c r="C46" s="130"/>
      <c r="D46" s="131"/>
      <c r="E46" s="132">
        <v>1</v>
      </c>
      <c r="F46" s="9"/>
      <c r="G46" s="6"/>
    </row>
    <row r="47" spans="1:7" s="4" customFormat="1" ht="15" customHeight="1" x14ac:dyDescent="0.2">
      <c r="A47" s="59"/>
      <c r="B47" s="59"/>
      <c r="C47" s="59"/>
      <c r="D47" s="54"/>
      <c r="E47" s="246"/>
      <c r="F47" s="9"/>
      <c r="G47" s="6"/>
    </row>
    <row r="48" spans="1:7" s="4" customFormat="1" ht="13.5" thickBot="1" x14ac:dyDescent="0.25">
      <c r="A48" s="59"/>
      <c r="B48" s="59"/>
      <c r="C48" s="59"/>
      <c r="D48" s="54"/>
      <c r="E48" s="68"/>
      <c r="F48" s="9"/>
      <c r="G48" s="6"/>
    </row>
    <row r="49" spans="1:7" s="11" customFormat="1" ht="15.75" customHeight="1" thickBot="1" x14ac:dyDescent="0.25">
      <c r="A49" s="251" t="s">
        <v>171</v>
      </c>
      <c r="B49" s="252">
        <v>0.5</v>
      </c>
      <c r="C49" s="35"/>
      <c r="D49" s="34"/>
      <c r="E49" s="151"/>
      <c r="G49" s="44"/>
    </row>
    <row r="50" spans="1:7" s="4" customFormat="1" ht="15.75" customHeight="1" x14ac:dyDescent="0.2">
      <c r="A50" s="59"/>
      <c r="B50" s="59"/>
      <c r="C50" s="59"/>
      <c r="D50" s="54"/>
      <c r="E50" s="68"/>
      <c r="F50" s="9"/>
      <c r="G50" s="6"/>
    </row>
    <row r="51" spans="1:7" ht="13.15" customHeight="1" x14ac:dyDescent="0.2">
      <c r="A51" s="11" t="s">
        <v>43</v>
      </c>
    </row>
    <row r="52" spans="1:7" ht="11.25" customHeight="1" x14ac:dyDescent="0.2"/>
    <row r="53" spans="1:7" ht="13.9" customHeight="1" thickBot="1" x14ac:dyDescent="0.25">
      <c r="A53" s="9" t="s">
        <v>91</v>
      </c>
    </row>
    <row r="54" spans="1:7" ht="13.9" customHeight="1" thickBot="1" x14ac:dyDescent="0.25">
      <c r="A54" s="60" t="s">
        <v>58</v>
      </c>
      <c r="B54" s="61" t="s">
        <v>59</v>
      </c>
      <c r="C54" s="61" t="s">
        <v>36</v>
      </c>
      <c r="D54" s="62" t="s">
        <v>204</v>
      </c>
      <c r="E54" s="62" t="s">
        <v>60</v>
      </c>
      <c r="F54" s="63" t="s">
        <v>61</v>
      </c>
    </row>
    <row r="55" spans="1:7" ht="13.15" customHeight="1" x14ac:dyDescent="0.2">
      <c r="A55" s="13" t="s">
        <v>184</v>
      </c>
      <c r="B55" s="14" t="s">
        <v>6</v>
      </c>
      <c r="C55" s="14">
        <v>1</v>
      </c>
      <c r="D55" s="87"/>
      <c r="E55" s="15">
        <f>C55*D55</f>
        <v>0</v>
      </c>
    </row>
    <row r="56" spans="1:7" x14ac:dyDescent="0.2">
      <c r="A56" s="16" t="s">
        <v>0</v>
      </c>
      <c r="B56" s="17" t="s">
        <v>1</v>
      </c>
      <c r="C56" s="17">
        <v>40</v>
      </c>
      <c r="D56" s="83">
        <f>SUM(E55:E55)</f>
        <v>0</v>
      </c>
      <c r="E56" s="18">
        <f>C56*D56/100</f>
        <v>0</v>
      </c>
    </row>
    <row r="57" spans="1:7" x14ac:dyDescent="0.2">
      <c r="A57" s="115" t="s">
        <v>2</v>
      </c>
      <c r="B57" s="116"/>
      <c r="C57" s="116"/>
      <c r="D57" s="117"/>
      <c r="E57" s="118">
        <f>SUM(E55:E56)</f>
        <v>0</v>
      </c>
    </row>
    <row r="58" spans="1:7" x14ac:dyDescent="0.2">
      <c r="A58" s="16" t="s">
        <v>3</v>
      </c>
      <c r="B58" s="17" t="s">
        <v>1</v>
      </c>
      <c r="C58" s="137">
        <f>'2.Encargos Sociais'!$C$37*100</f>
        <v>70.595951999999997</v>
      </c>
      <c r="D58" s="18">
        <f>E57</f>
        <v>0</v>
      </c>
      <c r="E58" s="18">
        <f>D58*C58/100</f>
        <v>0</v>
      </c>
    </row>
    <row r="59" spans="1:7" x14ac:dyDescent="0.2">
      <c r="A59" s="115" t="s">
        <v>67</v>
      </c>
      <c r="B59" s="116"/>
      <c r="C59" s="116"/>
      <c r="D59" s="117"/>
      <c r="E59" s="118">
        <f>E57+E58</f>
        <v>0</v>
      </c>
    </row>
    <row r="60" spans="1:7" ht="13.5" thickBot="1" x14ac:dyDescent="0.25">
      <c r="A60" s="16" t="s">
        <v>4</v>
      </c>
      <c r="B60" s="17" t="s">
        <v>5</v>
      </c>
      <c r="C60" s="86"/>
      <c r="D60" s="18">
        <f>E59</f>
        <v>0</v>
      </c>
      <c r="E60" s="18">
        <f>C60*D60</f>
        <v>0</v>
      </c>
      <c r="G60" s="6"/>
    </row>
    <row r="61" spans="1:7" ht="13.9" customHeight="1" thickBot="1" x14ac:dyDescent="0.25">
      <c r="D61" s="120" t="s">
        <v>170</v>
      </c>
      <c r="E61" s="50">
        <f>B49</f>
        <v>0.5</v>
      </c>
      <c r="F61" s="121">
        <f>E60*E61</f>
        <v>0</v>
      </c>
      <c r="G61" s="6"/>
    </row>
    <row r="62" spans="1:7" ht="11.25" customHeight="1" x14ac:dyDescent="0.2"/>
    <row r="63" spans="1:7" ht="13.5" thickBot="1" x14ac:dyDescent="0.25">
      <c r="A63" s="7" t="s">
        <v>279</v>
      </c>
    </row>
    <row r="64" spans="1:7" s="12" customFormat="1" ht="13.15" customHeight="1" thickBot="1" x14ac:dyDescent="0.25">
      <c r="A64" s="60" t="s">
        <v>58</v>
      </c>
      <c r="B64" s="61" t="s">
        <v>59</v>
      </c>
      <c r="C64" s="61" t="s">
        <v>36</v>
      </c>
      <c r="D64" s="62" t="s">
        <v>204</v>
      </c>
      <c r="E64" s="62" t="s">
        <v>60</v>
      </c>
      <c r="F64" s="63" t="s">
        <v>61</v>
      </c>
      <c r="G64" s="10"/>
    </row>
    <row r="65" spans="1:7" x14ac:dyDescent="0.2">
      <c r="A65" s="298" t="s">
        <v>254</v>
      </c>
      <c r="B65" s="14" t="s">
        <v>6</v>
      </c>
      <c r="C65" s="14">
        <v>1</v>
      </c>
      <c r="D65" s="87"/>
      <c r="E65" s="15">
        <f>C65*D65</f>
        <v>0</v>
      </c>
    </row>
    <row r="66" spans="1:7" x14ac:dyDescent="0.2">
      <c r="A66" s="298" t="s">
        <v>255</v>
      </c>
      <c r="B66" s="14" t="s">
        <v>6</v>
      </c>
      <c r="C66" s="14">
        <v>1</v>
      </c>
      <c r="D66" s="87"/>
      <c r="E66" s="15"/>
    </row>
    <row r="67" spans="1:7" x14ac:dyDescent="0.2">
      <c r="A67" s="16" t="s">
        <v>185</v>
      </c>
      <c r="B67" s="17"/>
      <c r="C67" s="89"/>
      <c r="D67" s="18"/>
      <c r="E67" s="18"/>
    </row>
    <row r="68" spans="1:7" x14ac:dyDescent="0.2">
      <c r="A68" s="16" t="s">
        <v>0</v>
      </c>
      <c r="B68" s="17" t="s">
        <v>1</v>
      </c>
      <c r="C68" s="86"/>
      <c r="D68" s="83">
        <f>IF(C67=2,SUM(E65:E66),IF(C67=1,(SUM(E65:E66))*D66/D65,0))</f>
        <v>0</v>
      </c>
      <c r="E68" s="18">
        <f>C68*D68/100</f>
        <v>0</v>
      </c>
    </row>
    <row r="69" spans="1:7" s="11" customFormat="1" x14ac:dyDescent="0.2">
      <c r="A69" s="102" t="s">
        <v>2</v>
      </c>
      <c r="B69" s="116"/>
      <c r="C69" s="116"/>
      <c r="D69" s="117"/>
      <c r="E69" s="104">
        <f>SUM(E65:E68)</f>
        <v>0</v>
      </c>
      <c r="F69" s="44"/>
      <c r="G69" s="44"/>
    </row>
    <row r="70" spans="1:7" x14ac:dyDescent="0.2">
      <c r="A70" s="16" t="s">
        <v>3</v>
      </c>
      <c r="B70" s="17" t="s">
        <v>1</v>
      </c>
      <c r="C70" s="137">
        <f>'2.Encargos Sociais'!$C$37*100</f>
        <v>70.595951999999997</v>
      </c>
      <c r="D70" s="18">
        <f>E69</f>
        <v>0</v>
      </c>
      <c r="E70" s="18">
        <f>D70*C70/100</f>
        <v>0</v>
      </c>
    </row>
    <row r="71" spans="1:7" s="11" customFormat="1" x14ac:dyDescent="0.2">
      <c r="A71" s="102" t="s">
        <v>219</v>
      </c>
      <c r="B71" s="258"/>
      <c r="C71" s="258"/>
      <c r="D71" s="259"/>
      <c r="E71" s="104">
        <f>E69+E70</f>
        <v>0</v>
      </c>
      <c r="F71" s="44"/>
      <c r="G71" s="44"/>
    </row>
    <row r="72" spans="1:7" ht="13.5" thickBot="1" x14ac:dyDescent="0.25">
      <c r="A72" s="16" t="s">
        <v>4</v>
      </c>
      <c r="B72" s="17" t="s">
        <v>5</v>
      </c>
      <c r="C72" s="86"/>
      <c r="D72" s="18">
        <f>E71</f>
        <v>0</v>
      </c>
      <c r="E72" s="18">
        <f>C72*D72</f>
        <v>0</v>
      </c>
    </row>
    <row r="73" spans="1:7" ht="13.5" thickBot="1" x14ac:dyDescent="0.25">
      <c r="D73" s="120" t="s">
        <v>170</v>
      </c>
      <c r="E73" s="50">
        <f>B49</f>
        <v>0.5</v>
      </c>
      <c r="F73" s="121">
        <f>E72*E73</f>
        <v>0</v>
      </c>
    </row>
    <row r="74" spans="1:7" ht="11.25" customHeight="1" x14ac:dyDescent="0.2"/>
    <row r="75" spans="1:7" ht="11.25" customHeight="1" x14ac:dyDescent="0.2">
      <c r="G75" s="9"/>
    </row>
    <row r="76" spans="1:7" ht="13.5" thickBot="1" x14ac:dyDescent="0.25">
      <c r="A76" s="7" t="s">
        <v>280</v>
      </c>
      <c r="B76" s="92"/>
      <c r="D76" s="9"/>
      <c r="E76" s="9"/>
      <c r="G76" s="9"/>
    </row>
    <row r="77" spans="1:7" ht="13.5" thickBot="1" x14ac:dyDescent="0.25">
      <c r="A77" s="60" t="s">
        <v>58</v>
      </c>
      <c r="B77" s="61" t="s">
        <v>59</v>
      </c>
      <c r="C77" s="61" t="s">
        <v>36</v>
      </c>
      <c r="D77" s="62" t="s">
        <v>204</v>
      </c>
      <c r="E77" s="62" t="s">
        <v>60</v>
      </c>
      <c r="F77" s="63" t="s">
        <v>61</v>
      </c>
      <c r="G77" s="9"/>
    </row>
    <row r="78" spans="1:7" x14ac:dyDescent="0.2">
      <c r="A78" s="16" t="s">
        <v>84</v>
      </c>
      <c r="B78" s="17" t="s">
        <v>31</v>
      </c>
      <c r="C78" s="93">
        <v>1</v>
      </c>
      <c r="D78" s="91"/>
      <c r="E78" s="18"/>
      <c r="G78" s="9"/>
    </row>
    <row r="79" spans="1:7" x14ac:dyDescent="0.2">
      <c r="A79" s="16" t="s">
        <v>85</v>
      </c>
      <c r="B79" s="17" t="s">
        <v>86</v>
      </c>
      <c r="C79" s="90"/>
      <c r="D79" s="18"/>
      <c r="E79" s="18"/>
      <c r="G79" s="9"/>
    </row>
    <row r="80" spans="1:7" x14ac:dyDescent="0.2">
      <c r="A80" s="16" t="s">
        <v>68</v>
      </c>
      <c r="B80" s="17" t="s">
        <v>7</v>
      </c>
      <c r="C80" s="37">
        <f>$C$79*2*(C60)</f>
        <v>0</v>
      </c>
      <c r="D80" s="15" t="str">
        <f>IFERROR((($C$79*2*$D$78)-(E55*0.06*C79/26))/($C$79*2),"-")</f>
        <v>-</v>
      </c>
      <c r="E80" s="18" t="str">
        <f>IFERROR(C80*D80,"-")</f>
        <v>-</v>
      </c>
      <c r="G80" s="9"/>
    </row>
    <row r="81" spans="1:7" ht="13.5" thickBot="1" x14ac:dyDescent="0.25">
      <c r="A81" s="13" t="s">
        <v>40</v>
      </c>
      <c r="B81" s="14" t="s">
        <v>7</v>
      </c>
      <c r="C81" s="37">
        <f>$C$79*2*(C72)</f>
        <v>0</v>
      </c>
      <c r="D81" s="15" t="str">
        <f>IFERROR((($C$79*2*$D$78)-(E65*0.06*C79/26))/($C$79*2),"-")</f>
        <v>-</v>
      </c>
      <c r="E81" s="15" t="str">
        <f>IFERROR(C81*D81,"-")</f>
        <v>-</v>
      </c>
      <c r="G81" s="9"/>
    </row>
    <row r="82" spans="1:7" ht="13.5" thickBot="1" x14ac:dyDescent="0.25">
      <c r="F82" s="22">
        <f>SUM(E80:E81)</f>
        <v>0</v>
      </c>
      <c r="G82" s="9"/>
    </row>
    <row r="83" spans="1:7" ht="11.25" customHeight="1" x14ac:dyDescent="0.2">
      <c r="G83" s="9"/>
    </row>
    <row r="84" spans="1:7" ht="13.5" thickBot="1" x14ac:dyDescent="0.25">
      <c r="A84" s="7" t="s">
        <v>281</v>
      </c>
      <c r="F84" s="23"/>
      <c r="G84" s="9"/>
    </row>
    <row r="85" spans="1:7" ht="13.5" thickBot="1" x14ac:dyDescent="0.25">
      <c r="A85" s="60" t="s">
        <v>58</v>
      </c>
      <c r="B85" s="61" t="s">
        <v>59</v>
      </c>
      <c r="C85" s="61" t="s">
        <v>36</v>
      </c>
      <c r="D85" s="62" t="s">
        <v>204</v>
      </c>
      <c r="E85" s="62" t="s">
        <v>60</v>
      </c>
      <c r="F85" s="63" t="s">
        <v>61</v>
      </c>
      <c r="G85" s="9"/>
    </row>
    <row r="86" spans="1:7" x14ac:dyDescent="0.2">
      <c r="A86" s="16" t="str">
        <f>+A80</f>
        <v>Coletor</v>
      </c>
      <c r="B86" s="17" t="s">
        <v>8</v>
      </c>
      <c r="C86" s="101">
        <f>C79*(E41)</f>
        <v>0</v>
      </c>
      <c r="D86" s="94"/>
      <c r="E86" s="50">
        <f>C86*D86</f>
        <v>0</v>
      </c>
      <c r="F86" s="23"/>
      <c r="G86" s="9"/>
    </row>
    <row r="87" spans="1:7" ht="13.5" thickBot="1" x14ac:dyDescent="0.25">
      <c r="A87" s="16" t="str">
        <f>+A81</f>
        <v>Motorista</v>
      </c>
      <c r="B87" s="17" t="s">
        <v>8</v>
      </c>
      <c r="C87" s="101">
        <f>C79*(E42)</f>
        <v>0</v>
      </c>
      <c r="D87" s="94"/>
      <c r="E87" s="50">
        <f>C87*D87</f>
        <v>0</v>
      </c>
      <c r="F87" s="23"/>
      <c r="G87" s="9"/>
    </row>
    <row r="88" spans="1:7" ht="13.5" thickBot="1" x14ac:dyDescent="0.25">
      <c r="F88" s="22">
        <f>SUM(E86:E87)</f>
        <v>0</v>
      </c>
      <c r="G88" s="9"/>
    </row>
    <row r="89" spans="1:7" x14ac:dyDescent="0.2">
      <c r="G89" s="9"/>
    </row>
    <row r="90" spans="1:7" ht="13.5" thickBot="1" x14ac:dyDescent="0.25">
      <c r="A90" s="7" t="s">
        <v>282</v>
      </c>
      <c r="F90" s="23"/>
      <c r="G90" s="9"/>
    </row>
    <row r="91" spans="1:7" ht="13.5" thickBot="1" x14ac:dyDescent="0.25">
      <c r="A91" s="60" t="s">
        <v>58</v>
      </c>
      <c r="B91" s="61" t="s">
        <v>59</v>
      </c>
      <c r="C91" s="61" t="s">
        <v>36</v>
      </c>
      <c r="D91" s="62" t="s">
        <v>204</v>
      </c>
      <c r="E91" s="62" t="s">
        <v>60</v>
      </c>
      <c r="F91" s="63" t="s">
        <v>61</v>
      </c>
      <c r="G91" s="9"/>
    </row>
    <row r="92" spans="1:7" ht="13.5" thickBot="1" x14ac:dyDescent="0.25">
      <c r="A92" s="16" t="str">
        <f>+A87</f>
        <v>Motorista</v>
      </c>
      <c r="B92" s="17" t="s">
        <v>8</v>
      </c>
      <c r="C92" s="101">
        <f>E42</f>
        <v>1</v>
      </c>
      <c r="D92" s="94"/>
      <c r="E92" s="50">
        <f>C92*D92</f>
        <v>0</v>
      </c>
      <c r="F92" s="23"/>
      <c r="G92" s="9"/>
    </row>
    <row r="93" spans="1:7" ht="13.5" thickBot="1" x14ac:dyDescent="0.25">
      <c r="D93" s="120" t="s">
        <v>170</v>
      </c>
      <c r="E93" s="50">
        <f>B49</f>
        <v>0.5</v>
      </c>
      <c r="F93" s="22">
        <f>SUM(E92:E92)*E93</f>
        <v>0</v>
      </c>
      <c r="G93" s="9"/>
    </row>
    <row r="94" spans="1:7" x14ac:dyDescent="0.2">
      <c r="D94" s="120"/>
      <c r="E94" s="324" t="s">
        <v>110</v>
      </c>
      <c r="F94" s="323"/>
      <c r="G94" s="9"/>
    </row>
    <row r="95" spans="1:7" x14ac:dyDescent="0.2">
      <c r="D95" s="120"/>
      <c r="E95" s="59"/>
      <c r="F95" s="323"/>
      <c r="G95" s="9"/>
    </row>
    <row r="96" spans="1:7" ht="13.5" thickBot="1" x14ac:dyDescent="0.25">
      <c r="A96" s="7" t="s">
        <v>285</v>
      </c>
      <c r="B96" s="7"/>
      <c r="C96" s="7"/>
      <c r="D96" s="306"/>
      <c r="E96" s="306"/>
      <c r="F96" s="23"/>
      <c r="G96" s="9"/>
    </row>
    <row r="97" spans="1:7" ht="13.5" thickBot="1" x14ac:dyDescent="0.25">
      <c r="A97" s="60" t="s">
        <v>58</v>
      </c>
      <c r="B97" s="61" t="s">
        <v>59</v>
      </c>
      <c r="C97" s="61" t="s">
        <v>36</v>
      </c>
      <c r="D97" s="62" t="s">
        <v>204</v>
      </c>
      <c r="E97" s="62" t="s">
        <v>60</v>
      </c>
      <c r="F97" s="63" t="s">
        <v>61</v>
      </c>
      <c r="G97" s="9"/>
    </row>
    <row r="98" spans="1:7" ht="13.5" thickBot="1" x14ac:dyDescent="0.25">
      <c r="A98" s="304" t="s">
        <v>283</v>
      </c>
      <c r="B98" s="309" t="s">
        <v>8</v>
      </c>
      <c r="C98" s="318">
        <f>C60</f>
        <v>0</v>
      </c>
      <c r="D98" s="319"/>
      <c r="E98" s="320">
        <f>C98*D98</f>
        <v>0</v>
      </c>
      <c r="F98" s="23"/>
      <c r="G98" s="9"/>
    </row>
    <row r="99" spans="1:7" ht="13.5" thickBot="1" x14ac:dyDescent="0.25">
      <c r="A99" s="321"/>
      <c r="B99" s="321"/>
      <c r="C99" s="7"/>
      <c r="D99" s="313" t="s">
        <v>284</v>
      </c>
      <c r="E99" s="314">
        <f>B49</f>
        <v>0.5</v>
      </c>
      <c r="F99" s="322">
        <f>SUM(E98:E98)*E99</f>
        <v>0</v>
      </c>
    </row>
    <row r="100" spans="1:7" ht="13.9" customHeight="1" thickBot="1" x14ac:dyDescent="0.25">
      <c r="G100" s="9"/>
    </row>
    <row r="101" spans="1:7" ht="11.25" customHeight="1" thickBot="1" x14ac:dyDescent="0.25">
      <c r="A101" s="24" t="s">
        <v>87</v>
      </c>
      <c r="B101" s="25"/>
      <c r="C101" s="25"/>
      <c r="D101" s="26"/>
      <c r="E101" s="27"/>
      <c r="F101" s="22">
        <f>F99+F93+F88+F82+F73+F61</f>
        <v>0</v>
      </c>
      <c r="G101" s="9"/>
    </row>
    <row r="102" spans="1:7" ht="27.75" customHeight="1" x14ac:dyDescent="0.2">
      <c r="G102" s="9"/>
    </row>
    <row r="103" spans="1:7" x14ac:dyDescent="0.2">
      <c r="A103" s="11" t="s">
        <v>41</v>
      </c>
      <c r="G103" s="9"/>
    </row>
    <row r="104" spans="1:7" ht="13.15" customHeight="1" x14ac:dyDescent="0.2">
      <c r="G104" s="9"/>
    </row>
    <row r="105" spans="1:7" x14ac:dyDescent="0.2">
      <c r="A105" s="9" t="s">
        <v>172</v>
      </c>
      <c r="G105" s="9"/>
    </row>
    <row r="106" spans="1:7" ht="13.15" customHeight="1" thickBot="1" x14ac:dyDescent="0.25">
      <c r="G106" s="9"/>
    </row>
    <row r="107" spans="1:7" ht="23.25" customHeight="1" thickBot="1" x14ac:dyDescent="0.25">
      <c r="A107" s="60" t="s">
        <v>58</v>
      </c>
      <c r="B107" s="61" t="s">
        <v>59</v>
      </c>
      <c r="C107" s="260" t="s">
        <v>220</v>
      </c>
      <c r="D107" s="62" t="s">
        <v>204</v>
      </c>
      <c r="E107" s="62" t="s">
        <v>60</v>
      </c>
      <c r="F107" s="63" t="s">
        <v>61</v>
      </c>
      <c r="G107" s="9"/>
    </row>
    <row r="108" spans="1:7" ht="13.15" customHeight="1" x14ac:dyDescent="0.2">
      <c r="A108" s="13" t="s">
        <v>62</v>
      </c>
      <c r="B108" s="14" t="s">
        <v>8</v>
      </c>
      <c r="C108" s="100"/>
      <c r="D108" s="87"/>
      <c r="E108" s="15">
        <f>IFERROR(D108/C108,0)</f>
        <v>0</v>
      </c>
    </row>
    <row r="109" spans="1:7" x14ac:dyDescent="0.2">
      <c r="A109" s="16" t="s">
        <v>27</v>
      </c>
      <c r="B109" s="17" t="s">
        <v>8</v>
      </c>
      <c r="C109" s="100"/>
      <c r="D109" s="87"/>
      <c r="E109" s="15">
        <f t="shared" ref="E109:E117" si="1">IFERROR(D109/C109,0)</f>
        <v>0</v>
      </c>
    </row>
    <row r="110" spans="1:7" s="1" customFormat="1" x14ac:dyDescent="0.2">
      <c r="A110" s="16" t="s">
        <v>28</v>
      </c>
      <c r="B110" s="17" t="s">
        <v>8</v>
      </c>
      <c r="C110" s="100"/>
      <c r="D110" s="87"/>
      <c r="E110" s="15">
        <f t="shared" si="1"/>
        <v>0</v>
      </c>
      <c r="F110" s="10"/>
      <c r="G110" s="38"/>
    </row>
    <row r="111" spans="1:7" x14ac:dyDescent="0.2">
      <c r="A111" s="16" t="s">
        <v>29</v>
      </c>
      <c r="B111" s="17" t="s">
        <v>8</v>
      </c>
      <c r="C111" s="100"/>
      <c r="D111" s="87"/>
      <c r="E111" s="15">
        <f t="shared" si="1"/>
        <v>0</v>
      </c>
    </row>
    <row r="112" spans="1:7" ht="13.15" customHeight="1" x14ac:dyDescent="0.2">
      <c r="A112" s="16" t="s">
        <v>64</v>
      </c>
      <c r="B112" s="17" t="s">
        <v>44</v>
      </c>
      <c r="C112" s="100"/>
      <c r="D112" s="87"/>
      <c r="E112" s="15">
        <f t="shared" si="1"/>
        <v>0</v>
      </c>
    </row>
    <row r="113" spans="1:7" x14ac:dyDescent="0.2">
      <c r="A113" s="16" t="s">
        <v>88</v>
      </c>
      <c r="B113" s="17" t="s">
        <v>44</v>
      </c>
      <c r="C113" s="100"/>
      <c r="D113" s="87"/>
      <c r="E113" s="15">
        <f t="shared" si="1"/>
        <v>0</v>
      </c>
    </row>
    <row r="114" spans="1:7" x14ac:dyDescent="0.2">
      <c r="A114" s="16" t="s">
        <v>63</v>
      </c>
      <c r="B114" s="17" t="s">
        <v>8</v>
      </c>
      <c r="C114" s="100"/>
      <c r="D114" s="87"/>
      <c r="E114" s="15">
        <f t="shared" si="1"/>
        <v>0</v>
      </c>
    </row>
    <row r="115" spans="1:7" ht="11.25" customHeight="1" x14ac:dyDescent="0.2">
      <c r="A115" s="2" t="s">
        <v>9</v>
      </c>
      <c r="B115" s="3" t="s">
        <v>8</v>
      </c>
      <c r="C115" s="100"/>
      <c r="D115" s="87"/>
      <c r="E115" s="15">
        <f t="shared" si="1"/>
        <v>0</v>
      </c>
      <c r="F115" s="38"/>
    </row>
    <row r="116" spans="1:7" ht="13.9" customHeight="1" x14ac:dyDescent="0.2">
      <c r="A116" s="16" t="s">
        <v>30</v>
      </c>
      <c r="B116" s="17" t="s">
        <v>44</v>
      </c>
      <c r="C116" s="100"/>
      <c r="D116" s="87"/>
      <c r="E116" s="15">
        <f t="shared" si="1"/>
        <v>0</v>
      </c>
    </row>
    <row r="117" spans="1:7" ht="11.25" customHeight="1" x14ac:dyDescent="0.2">
      <c r="A117" s="16" t="s">
        <v>57</v>
      </c>
      <c r="B117" s="17" t="s">
        <v>45</v>
      </c>
      <c r="C117" s="100"/>
      <c r="D117" s="87"/>
      <c r="E117" s="15">
        <f t="shared" si="1"/>
        <v>0</v>
      </c>
    </row>
    <row r="118" spans="1:7" ht="13.5" thickBot="1" x14ac:dyDescent="0.25">
      <c r="A118" s="16" t="s">
        <v>4</v>
      </c>
      <c r="B118" s="17" t="s">
        <v>5</v>
      </c>
      <c r="C118" s="69">
        <f>E41</f>
        <v>3</v>
      </c>
      <c r="D118" s="18">
        <f>+SUM(E108:E117)</f>
        <v>0</v>
      </c>
      <c r="E118" s="18">
        <f t="shared" ref="E118" si="2">C118*D118</f>
        <v>0</v>
      </c>
    </row>
    <row r="119" spans="1:7" ht="13.5" thickBot="1" x14ac:dyDescent="0.25">
      <c r="D119" s="120" t="s">
        <v>170</v>
      </c>
      <c r="E119" s="50">
        <f>$B$49</f>
        <v>0.5</v>
      </c>
      <c r="F119" s="121">
        <f>E118*E119</f>
        <v>0</v>
      </c>
    </row>
    <row r="121" spans="1:7" x14ac:dyDescent="0.2">
      <c r="A121" s="9" t="s">
        <v>173</v>
      </c>
    </row>
    <row r="122" spans="1:7" ht="13.5" thickBot="1" x14ac:dyDescent="0.25"/>
    <row r="123" spans="1:7" ht="24.75" thickBot="1" x14ac:dyDescent="0.25">
      <c r="A123" s="60" t="s">
        <v>58</v>
      </c>
      <c r="B123" s="61" t="s">
        <v>59</v>
      </c>
      <c r="C123" s="260" t="s">
        <v>220</v>
      </c>
      <c r="D123" s="62" t="s">
        <v>204</v>
      </c>
      <c r="E123" s="62" t="s">
        <v>60</v>
      </c>
      <c r="F123" s="63" t="s">
        <v>61</v>
      </c>
      <c r="G123" s="9"/>
    </row>
    <row r="124" spans="1:7" x14ac:dyDescent="0.2">
      <c r="A124" s="13" t="s">
        <v>62</v>
      </c>
      <c r="B124" s="14" t="s">
        <v>8</v>
      </c>
      <c r="C124" s="100"/>
      <c r="D124" s="15">
        <f>+D108</f>
        <v>0</v>
      </c>
      <c r="E124" s="15">
        <f>IFERROR(D124/C124,0)</f>
        <v>0</v>
      </c>
      <c r="G124" s="9"/>
    </row>
    <row r="125" spans="1:7" x14ac:dyDescent="0.2">
      <c r="A125" s="16" t="s">
        <v>27</v>
      </c>
      <c r="B125" s="17" t="s">
        <v>8</v>
      </c>
      <c r="C125" s="100"/>
      <c r="D125" s="18">
        <f>+D109</f>
        <v>0</v>
      </c>
      <c r="E125" s="15">
        <f t="shared" ref="E125:E129" si="3">IFERROR(D125/C125,0)</f>
        <v>0</v>
      </c>
      <c r="G125" s="9"/>
    </row>
    <row r="126" spans="1:7" x14ac:dyDescent="0.2">
      <c r="A126" s="16" t="s">
        <v>28</v>
      </c>
      <c r="B126" s="17" t="s">
        <v>8</v>
      </c>
      <c r="C126" s="100"/>
      <c r="D126" s="18">
        <f>+D110</f>
        <v>0</v>
      </c>
      <c r="E126" s="15">
        <f t="shared" si="3"/>
        <v>0</v>
      </c>
      <c r="G126" s="9"/>
    </row>
    <row r="127" spans="1:7" ht="11.25" customHeight="1" x14ac:dyDescent="0.2">
      <c r="A127" s="16" t="s">
        <v>64</v>
      </c>
      <c r="B127" s="17" t="s">
        <v>44</v>
      </c>
      <c r="C127" s="100"/>
      <c r="D127" s="18">
        <f>+D112</f>
        <v>0</v>
      </c>
      <c r="E127" s="15">
        <f t="shared" si="3"/>
        <v>0</v>
      </c>
      <c r="G127" s="9"/>
    </row>
    <row r="128" spans="1:7" x14ac:dyDescent="0.2">
      <c r="A128" s="16" t="s">
        <v>63</v>
      </c>
      <c r="B128" s="17" t="s">
        <v>8</v>
      </c>
      <c r="C128" s="100"/>
      <c r="D128" s="18">
        <f>+D114</f>
        <v>0</v>
      </c>
      <c r="E128" s="15">
        <f t="shared" si="3"/>
        <v>0</v>
      </c>
      <c r="G128" s="9"/>
    </row>
    <row r="129" spans="1:10" ht="11.25" customHeight="1" x14ac:dyDescent="0.2">
      <c r="A129" s="16" t="s">
        <v>57</v>
      </c>
      <c r="B129" s="17" t="s">
        <v>45</v>
      </c>
      <c r="C129" s="100"/>
      <c r="D129" s="18">
        <f>+D117</f>
        <v>0</v>
      </c>
      <c r="E129" s="15">
        <f t="shared" si="3"/>
        <v>0</v>
      </c>
      <c r="G129" s="9"/>
    </row>
    <row r="130" spans="1:10" ht="13.5" thickBot="1" x14ac:dyDescent="0.25">
      <c r="A130" s="16" t="s">
        <v>4</v>
      </c>
      <c r="B130" s="17" t="s">
        <v>5</v>
      </c>
      <c r="C130" s="69">
        <f>E42</f>
        <v>1</v>
      </c>
      <c r="D130" s="18">
        <f>+SUM(E124:E129)</f>
        <v>0</v>
      </c>
      <c r="E130" s="18">
        <f t="shared" ref="E130" si="4">C130*D130</f>
        <v>0</v>
      </c>
      <c r="G130" s="9"/>
    </row>
    <row r="131" spans="1:10" ht="11.25" customHeight="1" thickBot="1" x14ac:dyDescent="0.25">
      <c r="D131" s="120" t="s">
        <v>170</v>
      </c>
      <c r="E131" s="50">
        <f>$B$49</f>
        <v>0.5</v>
      </c>
      <c r="F131" s="121">
        <f>E130*E131</f>
        <v>0</v>
      </c>
      <c r="G131" s="9"/>
    </row>
    <row r="132" spans="1:10" ht="13.5" thickBot="1" x14ac:dyDescent="0.25">
      <c r="G132" s="9"/>
    </row>
    <row r="133" spans="1:10" ht="11.25" customHeight="1" thickBot="1" x14ac:dyDescent="0.25">
      <c r="A133" s="24" t="s">
        <v>174</v>
      </c>
      <c r="B133" s="28"/>
      <c r="C133" s="28"/>
      <c r="D133" s="29"/>
      <c r="E133" s="30"/>
      <c r="F133" s="21">
        <f>+F119+F131</f>
        <v>0</v>
      </c>
      <c r="G133" s="9"/>
    </row>
    <row r="134" spans="1:10" x14ac:dyDescent="0.2">
      <c r="G134" s="9"/>
    </row>
    <row r="135" spans="1:10" x14ac:dyDescent="0.2">
      <c r="A135" s="11" t="s">
        <v>50</v>
      </c>
      <c r="G135" s="9"/>
    </row>
    <row r="136" spans="1:10" x14ac:dyDescent="0.2">
      <c r="B136" s="106"/>
      <c r="G136" s="9"/>
    </row>
    <row r="137" spans="1:10" x14ac:dyDescent="0.2">
      <c r="A137" s="7" t="s">
        <v>272</v>
      </c>
      <c r="G137" s="9"/>
    </row>
    <row r="138" spans="1:10" x14ac:dyDescent="0.2">
      <c r="I138" s="85"/>
      <c r="J138" s="85"/>
    </row>
    <row r="139" spans="1:10" ht="13.5" thickBot="1" x14ac:dyDescent="0.25">
      <c r="A139" s="106" t="s">
        <v>42</v>
      </c>
    </row>
    <row r="140" spans="1:10" ht="13.5" thickBot="1" x14ac:dyDescent="0.25">
      <c r="A140" s="60" t="s">
        <v>58</v>
      </c>
      <c r="B140" s="61" t="s">
        <v>59</v>
      </c>
      <c r="C140" s="61" t="s">
        <v>36</v>
      </c>
      <c r="D140" s="62" t="s">
        <v>204</v>
      </c>
      <c r="E140" s="62" t="s">
        <v>60</v>
      </c>
      <c r="F140" s="63" t="s">
        <v>61</v>
      </c>
    </row>
    <row r="141" spans="1:10" x14ac:dyDescent="0.2">
      <c r="A141" s="298" t="s">
        <v>266</v>
      </c>
      <c r="B141" s="14" t="s">
        <v>8</v>
      </c>
      <c r="C141" s="266">
        <v>1</v>
      </c>
      <c r="D141" s="87"/>
      <c r="E141" s="15">
        <f>C141*D141</f>
        <v>0</v>
      </c>
      <c r="G141" s="9"/>
    </row>
    <row r="142" spans="1:10" x14ac:dyDescent="0.2">
      <c r="A142" s="304" t="s">
        <v>267</v>
      </c>
      <c r="B142" s="17" t="s">
        <v>92</v>
      </c>
      <c r="C142" s="86"/>
      <c r="D142" s="83"/>
      <c r="E142" s="18"/>
    </row>
    <row r="143" spans="1:10" x14ac:dyDescent="0.2">
      <c r="A143" s="16" t="s">
        <v>181</v>
      </c>
      <c r="B143" s="17" t="s">
        <v>92</v>
      </c>
      <c r="C143" s="86"/>
      <c r="D143" s="18"/>
      <c r="E143" s="18"/>
      <c r="F143" s="20"/>
      <c r="I143" s="85"/>
      <c r="J143" s="85"/>
    </row>
    <row r="144" spans="1:10" x14ac:dyDescent="0.2">
      <c r="A144" s="304" t="s">
        <v>268</v>
      </c>
      <c r="B144" s="17" t="s">
        <v>1</v>
      </c>
      <c r="C144" s="137">
        <f>IFERROR(VLOOKUP(C142,'5. Depreciação'!A3:B17,2,FALSE),0)</f>
        <v>0</v>
      </c>
      <c r="D144" s="18">
        <f>E141</f>
        <v>0</v>
      </c>
      <c r="E144" s="18">
        <f>C144*D144/100</f>
        <v>0</v>
      </c>
    </row>
    <row r="145" spans="1:10" ht="13.5" thickBot="1" x14ac:dyDescent="0.25">
      <c r="A145" s="269" t="s">
        <v>46</v>
      </c>
      <c r="B145" s="270" t="s">
        <v>6</v>
      </c>
      <c r="C145" s="270">
        <f>C142*12</f>
        <v>0</v>
      </c>
      <c r="D145" s="271">
        <f>IF(C143&lt;=C142,E144,0)</f>
        <v>0</v>
      </c>
      <c r="E145" s="271">
        <f>IFERROR(D145/C145,0)</f>
        <v>0</v>
      </c>
    </row>
    <row r="146" spans="1:10" ht="13.5" thickTop="1" x14ac:dyDescent="0.2">
      <c r="A146" s="115" t="s">
        <v>223</v>
      </c>
      <c r="B146" s="116"/>
      <c r="C146" s="116"/>
      <c r="D146" s="117"/>
      <c r="E146" s="118">
        <f>E145</f>
        <v>0</v>
      </c>
      <c r="I146" s="85"/>
      <c r="J146" s="85"/>
    </row>
    <row r="147" spans="1:10" ht="13.5" thickBot="1" x14ac:dyDescent="0.25">
      <c r="A147" s="102" t="s">
        <v>224</v>
      </c>
      <c r="B147" s="103" t="s">
        <v>8</v>
      </c>
      <c r="C147" s="86"/>
      <c r="D147" s="104">
        <f>E146</f>
        <v>0</v>
      </c>
      <c r="E147" s="118">
        <f>C147*D147</f>
        <v>0</v>
      </c>
      <c r="I147" s="85"/>
      <c r="J147" s="85"/>
    </row>
    <row r="148" spans="1:10" ht="13.5" thickBot="1" x14ac:dyDescent="0.25">
      <c r="A148" s="265"/>
      <c r="B148" s="265"/>
      <c r="C148" s="265"/>
      <c r="D148" s="120" t="s">
        <v>170</v>
      </c>
      <c r="E148" s="50">
        <f>$B$49</f>
        <v>0.5</v>
      </c>
      <c r="F148" s="21">
        <f>E147*E148</f>
        <v>0</v>
      </c>
      <c r="I148" s="85"/>
      <c r="J148" s="85"/>
    </row>
    <row r="149" spans="1:10" x14ac:dyDescent="0.2">
      <c r="I149" s="85"/>
      <c r="J149" s="85"/>
    </row>
    <row r="150" spans="1:10" ht="13.5" thickBot="1" x14ac:dyDescent="0.25">
      <c r="A150" s="106" t="s">
        <v>95</v>
      </c>
      <c r="I150" s="85"/>
      <c r="J150" s="85"/>
    </row>
    <row r="151" spans="1:10" ht="13.5" thickBot="1" x14ac:dyDescent="0.25">
      <c r="A151" s="108" t="s">
        <v>58</v>
      </c>
      <c r="B151" s="109" t="s">
        <v>59</v>
      </c>
      <c r="C151" s="109" t="s">
        <v>36</v>
      </c>
      <c r="D151" s="62" t="s">
        <v>204</v>
      </c>
      <c r="E151" s="110" t="s">
        <v>60</v>
      </c>
      <c r="F151" s="63" t="s">
        <v>61</v>
      </c>
      <c r="I151" s="85"/>
      <c r="J151" s="85"/>
    </row>
    <row r="152" spans="1:10" x14ac:dyDescent="0.2">
      <c r="A152" s="298" t="s">
        <v>266</v>
      </c>
      <c r="B152" s="17" t="s">
        <v>8</v>
      </c>
      <c r="C152" s="266">
        <v>1</v>
      </c>
      <c r="D152" s="18">
        <f>D141</f>
        <v>0</v>
      </c>
      <c r="E152" s="18">
        <f>C152*D152</f>
        <v>0</v>
      </c>
      <c r="F152" s="20"/>
      <c r="I152" s="85"/>
      <c r="J152" s="85"/>
    </row>
    <row r="153" spans="1:10" x14ac:dyDescent="0.2">
      <c r="A153" s="16" t="s">
        <v>183</v>
      </c>
      <c r="B153" s="17" t="s">
        <v>1</v>
      </c>
      <c r="C153" s="86"/>
      <c r="D153" s="18"/>
      <c r="E153" s="18"/>
      <c r="F153" s="20"/>
      <c r="I153" s="85"/>
      <c r="J153" s="85"/>
    </row>
    <row r="154" spans="1:10" x14ac:dyDescent="0.2">
      <c r="A154" s="16" t="s">
        <v>182</v>
      </c>
      <c r="B154" s="17" t="s">
        <v>31</v>
      </c>
      <c r="C154" s="144">
        <f>IFERROR(IF(C143&lt;=C142,E141-(C144/(100*C142)*C143)*E141,E141-E144),0)</f>
        <v>0</v>
      </c>
      <c r="D154" s="18"/>
      <c r="E154" s="18"/>
      <c r="F154" s="20"/>
      <c r="I154" s="85"/>
      <c r="J154" s="85"/>
    </row>
    <row r="155" spans="1:10" x14ac:dyDescent="0.2">
      <c r="A155" s="304" t="s">
        <v>269</v>
      </c>
      <c r="B155" s="17" t="s">
        <v>31</v>
      </c>
      <c r="C155" s="83">
        <f>IFERROR(IF(C143&gt;=C142,C154,((((C154)-(E141-E144))*(((C142-C143)+1)/(2*(C142-C143))))+(E141-E144))),0)</f>
        <v>0</v>
      </c>
      <c r="D155" s="18"/>
      <c r="E155" s="18"/>
      <c r="F155" s="20"/>
      <c r="I155" s="85"/>
      <c r="J155" s="85"/>
    </row>
    <row r="156" spans="1:10" ht="13.5" thickBot="1" x14ac:dyDescent="0.25">
      <c r="A156" s="269" t="s">
        <v>270</v>
      </c>
      <c r="B156" s="270" t="s">
        <v>31</v>
      </c>
      <c r="C156" s="270"/>
      <c r="D156" s="272">
        <f>C153*C155/12/100</f>
        <v>0</v>
      </c>
      <c r="E156" s="271">
        <f>D156</f>
        <v>0</v>
      </c>
      <c r="F156" s="20"/>
      <c r="I156" s="85"/>
      <c r="J156" s="85"/>
    </row>
    <row r="157" spans="1:10" ht="13.5" thickTop="1" x14ac:dyDescent="0.2">
      <c r="A157" s="115" t="s">
        <v>223</v>
      </c>
      <c r="B157" s="116"/>
      <c r="C157" s="116"/>
      <c r="D157" s="117"/>
      <c r="E157" s="118">
        <f>E156</f>
        <v>0</v>
      </c>
      <c r="F157" s="20"/>
      <c r="I157" s="85"/>
      <c r="J157" s="85"/>
    </row>
    <row r="158" spans="1:10" ht="13.5" thickBot="1" x14ac:dyDescent="0.25">
      <c r="A158" s="102" t="s">
        <v>224</v>
      </c>
      <c r="B158" s="103" t="s">
        <v>8</v>
      </c>
      <c r="C158" s="267">
        <f>C147</f>
        <v>0</v>
      </c>
      <c r="D158" s="104">
        <f>E157</f>
        <v>0</v>
      </c>
      <c r="E158" s="118">
        <f>C158*D158</f>
        <v>0</v>
      </c>
      <c r="F158" s="20"/>
      <c r="I158" s="85"/>
      <c r="J158" s="85"/>
    </row>
    <row r="159" spans="1:10" ht="13.5" thickBot="1" x14ac:dyDescent="0.25">
      <c r="C159" s="19"/>
      <c r="D159" s="120" t="s">
        <v>170</v>
      </c>
      <c r="E159" s="50">
        <f>$B$49</f>
        <v>0.5</v>
      </c>
      <c r="F159" s="21">
        <f>E158*E159</f>
        <v>0</v>
      </c>
      <c r="I159" s="85"/>
      <c r="J159" s="85"/>
    </row>
    <row r="160" spans="1:10" x14ac:dyDescent="0.2">
      <c r="I160" s="85"/>
      <c r="J160" s="85"/>
    </row>
    <row r="161" spans="1:10" ht="13.5" thickBot="1" x14ac:dyDescent="0.25">
      <c r="A161" s="9" t="s">
        <v>47</v>
      </c>
      <c r="I161" s="85"/>
      <c r="J161" s="85"/>
    </row>
    <row r="162" spans="1:10" ht="13.5" thickBot="1" x14ac:dyDescent="0.25">
      <c r="A162" s="60" t="s">
        <v>58</v>
      </c>
      <c r="B162" s="61" t="s">
        <v>59</v>
      </c>
      <c r="C162" s="61" t="s">
        <v>36</v>
      </c>
      <c r="D162" s="62" t="s">
        <v>204</v>
      </c>
      <c r="E162" s="62" t="s">
        <v>60</v>
      </c>
      <c r="F162" s="63" t="s">
        <v>61</v>
      </c>
      <c r="I162" s="85"/>
      <c r="J162" s="85"/>
    </row>
    <row r="163" spans="1:10" ht="11.25" customHeight="1" x14ac:dyDescent="0.2">
      <c r="A163" s="13" t="s">
        <v>10</v>
      </c>
      <c r="B163" s="14" t="s">
        <v>8</v>
      </c>
      <c r="C163" s="15">
        <f>C147</f>
        <v>0</v>
      </c>
      <c r="D163" s="15">
        <f>0.01*($E$141)</f>
        <v>0</v>
      </c>
      <c r="E163" s="15">
        <f>C163*D163</f>
        <v>0</v>
      </c>
      <c r="I163" s="85"/>
      <c r="J163" s="85"/>
    </row>
    <row r="164" spans="1:10" x14ac:dyDescent="0.2">
      <c r="A164" s="16" t="s">
        <v>169</v>
      </c>
      <c r="B164" s="17" t="s">
        <v>8</v>
      </c>
      <c r="C164" s="15">
        <f>C147</f>
        <v>0</v>
      </c>
      <c r="D164" s="88"/>
      <c r="E164" s="18">
        <f>C164*D164</f>
        <v>0</v>
      </c>
      <c r="I164" s="85"/>
      <c r="J164" s="85"/>
    </row>
    <row r="165" spans="1:10" x14ac:dyDescent="0.2">
      <c r="A165" s="16" t="s">
        <v>11</v>
      </c>
      <c r="B165" s="17" t="s">
        <v>8</v>
      </c>
      <c r="C165" s="15">
        <f>C147</f>
        <v>0</v>
      </c>
      <c r="D165" s="88"/>
      <c r="E165" s="18">
        <f>C165*D165</f>
        <v>0</v>
      </c>
      <c r="F165" s="31"/>
      <c r="I165" s="85"/>
      <c r="J165" s="85"/>
    </row>
    <row r="166" spans="1:10" ht="13.5" thickBot="1" x14ac:dyDescent="0.25">
      <c r="A166" s="102" t="s">
        <v>12</v>
      </c>
      <c r="B166" s="103" t="s">
        <v>6</v>
      </c>
      <c r="C166" s="103">
        <v>12</v>
      </c>
      <c r="D166" s="104">
        <f>SUM(E163:E165)</f>
        <v>0</v>
      </c>
      <c r="E166" s="104">
        <f>D166/C166</f>
        <v>0</v>
      </c>
      <c r="I166" s="85"/>
      <c r="J166" s="85"/>
    </row>
    <row r="167" spans="1:10" ht="13.5" thickBot="1" x14ac:dyDescent="0.25">
      <c r="D167" s="120" t="s">
        <v>170</v>
      </c>
      <c r="E167" s="50">
        <f>$B$49</f>
        <v>0.5</v>
      </c>
      <c r="F167" s="121">
        <f>E166*E167</f>
        <v>0</v>
      </c>
      <c r="I167" s="85"/>
      <c r="J167" s="85"/>
    </row>
    <row r="168" spans="1:10" x14ac:dyDescent="0.2">
      <c r="I168" s="85"/>
      <c r="J168" s="85"/>
    </row>
    <row r="169" spans="1:10" x14ac:dyDescent="0.2">
      <c r="A169" s="9" t="s">
        <v>48</v>
      </c>
      <c r="B169" s="32"/>
      <c r="I169" s="85"/>
      <c r="J169" s="85"/>
    </row>
    <row r="170" spans="1:10" x14ac:dyDescent="0.2">
      <c r="B170" s="32"/>
      <c r="I170" s="85"/>
      <c r="J170" s="85"/>
    </row>
    <row r="171" spans="1:10" x14ac:dyDescent="0.2">
      <c r="A171" s="102" t="s">
        <v>97</v>
      </c>
      <c r="B171" s="112">
        <v>910</v>
      </c>
      <c r="G171" s="111"/>
      <c r="H171" s="52"/>
      <c r="I171" s="85"/>
      <c r="J171" s="85"/>
    </row>
    <row r="172" spans="1:10" ht="13.5" thickBot="1" x14ac:dyDescent="0.25">
      <c r="B172" s="32"/>
      <c r="G172" s="111"/>
      <c r="H172" s="52"/>
      <c r="I172" s="85"/>
      <c r="J172" s="85"/>
    </row>
    <row r="173" spans="1:10" ht="13.5" thickBot="1" x14ac:dyDescent="0.25">
      <c r="A173" s="60" t="s">
        <v>58</v>
      </c>
      <c r="B173" s="61" t="s">
        <v>59</v>
      </c>
      <c r="C173" s="61" t="s">
        <v>222</v>
      </c>
      <c r="D173" s="62" t="s">
        <v>204</v>
      </c>
      <c r="E173" s="62" t="s">
        <v>60</v>
      </c>
      <c r="F173" s="63" t="s">
        <v>61</v>
      </c>
      <c r="G173" s="111"/>
      <c r="H173" s="52"/>
      <c r="I173" s="85"/>
      <c r="J173" s="85"/>
    </row>
    <row r="174" spans="1:10" x14ac:dyDescent="0.2">
      <c r="A174" s="13" t="s">
        <v>13</v>
      </c>
      <c r="B174" s="14" t="s">
        <v>14</v>
      </c>
      <c r="C174" s="96"/>
      <c r="D174" s="97"/>
      <c r="E174" s="15"/>
      <c r="G174" s="111"/>
      <c r="H174" s="52"/>
      <c r="I174" s="85"/>
      <c r="J174" s="85"/>
    </row>
    <row r="175" spans="1:10" x14ac:dyDescent="0.2">
      <c r="A175" s="16" t="s">
        <v>15</v>
      </c>
      <c r="B175" s="17" t="s">
        <v>16</v>
      </c>
      <c r="C175" s="93">
        <f>B171</f>
        <v>910</v>
      </c>
      <c r="D175" s="264" t="str">
        <f>IFERROR(+D174/C174,"-")</f>
        <v>-</v>
      </c>
      <c r="E175" s="18" t="str">
        <f>IFERROR(C175*D175,"-")</f>
        <v>-</v>
      </c>
      <c r="G175" s="111"/>
      <c r="H175" s="52"/>
      <c r="I175" s="85"/>
      <c r="J175" s="85"/>
    </row>
    <row r="176" spans="1:10" x14ac:dyDescent="0.2">
      <c r="A176" s="16" t="s">
        <v>205</v>
      </c>
      <c r="B176" s="17" t="s">
        <v>17</v>
      </c>
      <c r="C176" s="99"/>
      <c r="D176" s="88"/>
      <c r="E176" s="18"/>
      <c r="G176" s="111"/>
      <c r="H176" s="52"/>
      <c r="I176" s="85"/>
      <c r="J176" s="85"/>
    </row>
    <row r="177" spans="1:10" x14ac:dyDescent="0.2">
      <c r="A177" s="16" t="s">
        <v>18</v>
      </c>
      <c r="B177" s="17" t="s">
        <v>16</v>
      </c>
      <c r="C177" s="93">
        <f>C175</f>
        <v>910</v>
      </c>
      <c r="D177" s="261">
        <f>+C176*D176/1000</f>
        <v>0</v>
      </c>
      <c r="E177" s="18">
        <f>C177*D177</f>
        <v>0</v>
      </c>
      <c r="G177" s="111"/>
      <c r="H177" s="52"/>
      <c r="I177" s="85"/>
      <c r="J177" s="85"/>
    </row>
    <row r="178" spans="1:10" x14ac:dyDescent="0.2">
      <c r="A178" s="16" t="s">
        <v>206</v>
      </c>
      <c r="B178" s="17" t="s">
        <v>17</v>
      </c>
      <c r="C178" s="99"/>
      <c r="D178" s="88"/>
      <c r="E178" s="18"/>
      <c r="G178" s="111"/>
      <c r="H178" s="52"/>
      <c r="I178" s="85"/>
      <c r="J178" s="85"/>
    </row>
    <row r="179" spans="1:10" x14ac:dyDescent="0.2">
      <c r="A179" s="16" t="s">
        <v>19</v>
      </c>
      <c r="B179" s="17" t="s">
        <v>16</v>
      </c>
      <c r="C179" s="93">
        <f>C175</f>
        <v>910</v>
      </c>
      <c r="D179" s="261">
        <f>+C178*D178/1000</f>
        <v>0</v>
      </c>
      <c r="E179" s="18">
        <f>C179*D179</f>
        <v>0</v>
      </c>
      <c r="G179" s="111"/>
      <c r="H179" s="52"/>
      <c r="I179" s="85"/>
      <c r="J179" s="85"/>
    </row>
    <row r="180" spans="1:10" x14ac:dyDescent="0.2">
      <c r="A180" s="16" t="s">
        <v>207</v>
      </c>
      <c r="B180" s="17" t="s">
        <v>17</v>
      </c>
      <c r="C180" s="99"/>
      <c r="D180" s="88"/>
      <c r="E180" s="18"/>
      <c r="I180" s="85"/>
      <c r="J180" s="85"/>
    </row>
    <row r="181" spans="1:10" ht="11.25" customHeight="1" x14ac:dyDescent="0.2">
      <c r="A181" s="16" t="s">
        <v>20</v>
      </c>
      <c r="B181" s="17" t="s">
        <v>16</v>
      </c>
      <c r="C181" s="93">
        <f>C175</f>
        <v>910</v>
      </c>
      <c r="D181" s="261">
        <f>+C180*D180/1000</f>
        <v>0</v>
      </c>
      <c r="E181" s="18">
        <f>C181*D181</f>
        <v>0</v>
      </c>
      <c r="I181" s="85"/>
      <c r="J181" s="85"/>
    </row>
    <row r="182" spans="1:10" x14ac:dyDescent="0.2">
      <c r="A182" s="16" t="s">
        <v>21</v>
      </c>
      <c r="B182" s="17" t="s">
        <v>22</v>
      </c>
      <c r="C182" s="99"/>
      <c r="D182" s="88"/>
      <c r="E182" s="18"/>
      <c r="I182" s="85"/>
      <c r="J182" s="85"/>
    </row>
    <row r="183" spans="1:10" x14ac:dyDescent="0.2">
      <c r="A183" s="16" t="s">
        <v>23</v>
      </c>
      <c r="B183" s="17" t="s">
        <v>16</v>
      </c>
      <c r="C183" s="93">
        <f>C175</f>
        <v>910</v>
      </c>
      <c r="D183" s="261">
        <f>+C182*D182/1000</f>
        <v>0</v>
      </c>
      <c r="E183" s="18">
        <f>C183*D183</f>
        <v>0</v>
      </c>
      <c r="I183" s="85"/>
      <c r="J183" s="85"/>
    </row>
    <row r="184" spans="1:10" ht="13.5" thickBot="1" x14ac:dyDescent="0.25">
      <c r="A184" s="102" t="s">
        <v>221</v>
      </c>
      <c r="B184" s="103" t="s">
        <v>98</v>
      </c>
      <c r="C184" s="262"/>
      <c r="D184" s="263">
        <f>IFERROR(D175+D177+D179+D181+D183,0)</f>
        <v>0</v>
      </c>
      <c r="E184" s="18"/>
      <c r="I184" s="85"/>
      <c r="J184" s="85"/>
    </row>
    <row r="185" spans="1:10" ht="13.5" thickBot="1" x14ac:dyDescent="0.25">
      <c r="F185" s="21">
        <f>SUM(E174:E183)</f>
        <v>0</v>
      </c>
      <c r="I185" s="85"/>
      <c r="J185" s="85"/>
    </row>
    <row r="186" spans="1:10" ht="11.25" customHeight="1" x14ac:dyDescent="0.2">
      <c r="I186" s="85"/>
      <c r="J186" s="85"/>
    </row>
    <row r="187" spans="1:10" ht="13.5" thickBot="1" x14ac:dyDescent="0.25">
      <c r="A187" s="9" t="s">
        <v>49</v>
      </c>
      <c r="I187" s="85"/>
      <c r="J187" s="85"/>
    </row>
    <row r="188" spans="1:10" ht="13.5" thickBot="1" x14ac:dyDescent="0.25">
      <c r="A188" s="60" t="s">
        <v>58</v>
      </c>
      <c r="B188" s="61" t="s">
        <v>59</v>
      </c>
      <c r="C188" s="61" t="s">
        <v>36</v>
      </c>
      <c r="D188" s="62" t="s">
        <v>204</v>
      </c>
      <c r="E188" s="62" t="s">
        <v>60</v>
      </c>
      <c r="F188" s="63" t="s">
        <v>61</v>
      </c>
      <c r="I188" s="85"/>
      <c r="J188" s="85"/>
    </row>
    <row r="189" spans="1:10" ht="13.5" thickBot="1" x14ac:dyDescent="0.25">
      <c r="A189" s="298" t="s">
        <v>286</v>
      </c>
      <c r="B189" s="14" t="s">
        <v>98</v>
      </c>
      <c r="C189" s="93">
        <f>C175</f>
        <v>910</v>
      </c>
      <c r="D189" s="87"/>
      <c r="E189" s="15">
        <f>C189*D189</f>
        <v>0</v>
      </c>
      <c r="I189" s="85"/>
      <c r="J189" s="85"/>
    </row>
    <row r="190" spans="1:10" ht="13.5" thickBot="1" x14ac:dyDescent="0.25">
      <c r="F190" s="21">
        <f>E189</f>
        <v>0</v>
      </c>
      <c r="I190" s="85"/>
      <c r="J190" s="85"/>
    </row>
    <row r="191" spans="1:10" x14ac:dyDescent="0.2">
      <c r="I191" s="85"/>
      <c r="J191" s="85"/>
    </row>
    <row r="192" spans="1:10" ht="13.5" thickBot="1" x14ac:dyDescent="0.25">
      <c r="A192" s="9" t="s">
        <v>56</v>
      </c>
      <c r="I192" s="85"/>
      <c r="J192" s="85"/>
    </row>
    <row r="193" spans="1:10" ht="13.5" thickBot="1" x14ac:dyDescent="0.25">
      <c r="A193" s="60" t="s">
        <v>58</v>
      </c>
      <c r="B193" s="61" t="s">
        <v>59</v>
      </c>
      <c r="C193" s="61" t="s">
        <v>36</v>
      </c>
      <c r="D193" s="62" t="s">
        <v>204</v>
      </c>
      <c r="E193" s="62" t="s">
        <v>60</v>
      </c>
      <c r="F193" s="63" t="s">
        <v>61</v>
      </c>
      <c r="I193" s="85"/>
      <c r="J193" s="85"/>
    </row>
    <row r="194" spans="1:10" x14ac:dyDescent="0.2">
      <c r="A194" s="298" t="s">
        <v>271</v>
      </c>
      <c r="B194" s="14" t="s">
        <v>8</v>
      </c>
      <c r="C194" s="95"/>
      <c r="D194" s="87"/>
      <c r="E194" s="15">
        <f>C194*D194</f>
        <v>0</v>
      </c>
      <c r="I194" s="85"/>
      <c r="J194" s="85"/>
    </row>
    <row r="195" spans="1:10" ht="11.25" customHeight="1" x14ac:dyDescent="0.2">
      <c r="A195" s="13" t="s">
        <v>99</v>
      </c>
      <c r="B195" s="14" t="s">
        <v>8</v>
      </c>
      <c r="C195" s="95"/>
      <c r="D195" s="105"/>
      <c r="E195" s="15"/>
      <c r="I195" s="85"/>
      <c r="J195" s="85"/>
    </row>
    <row r="196" spans="1:10" ht="11.25" customHeight="1" x14ac:dyDescent="0.2">
      <c r="A196" s="13" t="s">
        <v>65</v>
      </c>
      <c r="B196" s="14" t="s">
        <v>8</v>
      </c>
      <c r="C196" s="15">
        <f>C194*C195</f>
        <v>0</v>
      </c>
      <c r="D196" s="87"/>
      <c r="E196" s="15">
        <f>C196*D196</f>
        <v>0</v>
      </c>
      <c r="G196" s="9"/>
    </row>
    <row r="197" spans="1:10" x14ac:dyDescent="0.2">
      <c r="A197" s="16" t="s">
        <v>89</v>
      </c>
      <c r="B197" s="17" t="s">
        <v>24</v>
      </c>
      <c r="C197" s="98"/>
      <c r="D197" s="18">
        <f>E194+E196</f>
        <v>0</v>
      </c>
      <c r="E197" s="18" t="str">
        <f>IFERROR(D197/C197,"-")</f>
        <v>-</v>
      </c>
      <c r="G197" s="9"/>
    </row>
    <row r="198" spans="1:10" ht="11.25" customHeight="1" thickBot="1" x14ac:dyDescent="0.25">
      <c r="A198" s="16" t="s">
        <v>51</v>
      </c>
      <c r="B198" s="17" t="s">
        <v>16</v>
      </c>
      <c r="C198" s="93">
        <f>B171</f>
        <v>910</v>
      </c>
      <c r="D198" s="18" t="str">
        <f>E197</f>
        <v>-</v>
      </c>
      <c r="E198" s="18">
        <f>IFERROR(C198*D198,0)</f>
        <v>0</v>
      </c>
      <c r="G198" s="9"/>
    </row>
    <row r="199" spans="1:10" ht="13.5" thickBot="1" x14ac:dyDescent="0.25">
      <c r="F199" s="21">
        <f>E198</f>
        <v>0</v>
      </c>
      <c r="G199" s="9"/>
    </row>
    <row r="200" spans="1:10" ht="11.25" customHeight="1" x14ac:dyDescent="0.2">
      <c r="G200" s="9"/>
    </row>
    <row r="201" spans="1:10" ht="13.5" thickBot="1" x14ac:dyDescent="0.25">
      <c r="G201" s="9"/>
    </row>
    <row r="202" spans="1:10" ht="13.5" thickBot="1" x14ac:dyDescent="0.25">
      <c r="A202" s="24" t="s">
        <v>192</v>
      </c>
      <c r="B202" s="25"/>
      <c r="C202" s="25"/>
      <c r="D202" s="26"/>
      <c r="E202" s="27"/>
      <c r="F202" s="21">
        <f>+SUM(F141:F201)</f>
        <v>0</v>
      </c>
      <c r="G202" s="9"/>
    </row>
    <row r="203" spans="1:10" x14ac:dyDescent="0.2">
      <c r="G203" s="9"/>
    </row>
    <row r="204" spans="1:10" x14ac:dyDescent="0.2">
      <c r="A204" s="34" t="s">
        <v>69</v>
      </c>
      <c r="B204" s="34"/>
      <c r="C204" s="34"/>
      <c r="D204" s="35"/>
      <c r="E204" s="35"/>
      <c r="F204" s="33"/>
      <c r="G204" s="9"/>
    </row>
    <row r="205" spans="1:10" ht="13.5" thickBot="1" x14ac:dyDescent="0.25">
      <c r="G205" s="9"/>
    </row>
    <row r="206" spans="1:10" ht="11.25" customHeight="1" thickBot="1" x14ac:dyDescent="0.25">
      <c r="A206" s="60" t="s">
        <v>58</v>
      </c>
      <c r="B206" s="61" t="s">
        <v>59</v>
      </c>
      <c r="C206" s="61" t="s">
        <v>36</v>
      </c>
      <c r="D206" s="62" t="s">
        <v>204</v>
      </c>
      <c r="E206" s="62" t="s">
        <v>60</v>
      </c>
      <c r="F206" s="63" t="s">
        <v>61</v>
      </c>
      <c r="G206" s="9"/>
    </row>
    <row r="207" spans="1:10" x14ac:dyDescent="0.2">
      <c r="A207" s="16" t="s">
        <v>66</v>
      </c>
      <c r="B207" s="17" t="s">
        <v>8</v>
      </c>
      <c r="C207" s="100"/>
      <c r="D207" s="87"/>
      <c r="E207" s="18">
        <f>C207*D207</f>
        <v>0</v>
      </c>
      <c r="F207" s="55"/>
      <c r="G207" s="9"/>
    </row>
    <row r="208" spans="1:10" x14ac:dyDescent="0.2">
      <c r="A208" s="16" t="s">
        <v>25</v>
      </c>
      <c r="B208" s="17" t="s">
        <v>8</v>
      </c>
      <c r="C208" s="100"/>
      <c r="D208" s="87"/>
      <c r="E208" s="18">
        <f>C208*D208</f>
        <v>0</v>
      </c>
      <c r="F208" s="55"/>
      <c r="G208" s="9"/>
    </row>
    <row r="209" spans="1:7" ht="13.5" thickBot="1" x14ac:dyDescent="0.25">
      <c r="A209" s="16" t="s">
        <v>26</v>
      </c>
      <c r="B209" s="17" t="s">
        <v>8</v>
      </c>
      <c r="C209" s="100"/>
      <c r="D209" s="87"/>
      <c r="E209" s="18">
        <f>C209*D209</f>
        <v>0</v>
      </c>
      <c r="F209" s="55"/>
      <c r="G209" s="9"/>
    </row>
    <row r="210" spans="1:7" ht="13.5" thickBot="1" x14ac:dyDescent="0.25">
      <c r="A210" s="34"/>
      <c r="B210" s="34"/>
      <c r="C210" s="34"/>
      <c r="D210" s="34"/>
      <c r="E210" s="35"/>
      <c r="F210" s="21">
        <f>SUM(E207:E209)</f>
        <v>0</v>
      </c>
      <c r="G210" s="9"/>
    </row>
    <row r="211" spans="1:7" ht="13.5" thickBot="1" x14ac:dyDescent="0.25">
      <c r="G211" s="9"/>
    </row>
    <row r="212" spans="1:7" ht="13.5" thickBot="1" x14ac:dyDescent="0.25">
      <c r="A212" s="24" t="s">
        <v>193</v>
      </c>
      <c r="B212" s="25"/>
      <c r="C212" s="25"/>
      <c r="D212" s="26"/>
      <c r="E212" s="27"/>
      <c r="F212" s="21">
        <f>+F210</f>
        <v>0</v>
      </c>
      <c r="G212" s="9"/>
    </row>
    <row r="213" spans="1:7" x14ac:dyDescent="0.2">
      <c r="A213" s="34"/>
      <c r="B213" s="34"/>
      <c r="C213" s="34"/>
      <c r="D213" s="35"/>
      <c r="E213" s="35"/>
      <c r="F213" s="315"/>
      <c r="G213" s="9"/>
    </row>
    <row r="214" spans="1:7" x14ac:dyDescent="0.2">
      <c r="A214" s="34" t="s">
        <v>273</v>
      </c>
      <c r="B214" s="34"/>
      <c r="C214" s="34"/>
      <c r="D214" s="35"/>
      <c r="E214" s="35"/>
      <c r="F214" s="33"/>
      <c r="G214" s="9"/>
    </row>
    <row r="215" spans="1:7" ht="13.5" thickBot="1" x14ac:dyDescent="0.25">
      <c r="A215" s="7"/>
      <c r="B215" s="7"/>
      <c r="C215" s="7"/>
      <c r="D215" s="306"/>
      <c r="E215" s="306"/>
      <c r="F215" s="306"/>
      <c r="G215" s="9"/>
    </row>
    <row r="216" spans="1:7" ht="13.5" thickBot="1" x14ac:dyDescent="0.25">
      <c r="A216" s="60" t="s">
        <v>58</v>
      </c>
      <c r="B216" s="61" t="s">
        <v>59</v>
      </c>
      <c r="C216" s="61" t="s">
        <v>36</v>
      </c>
      <c r="D216" s="62" t="s">
        <v>204</v>
      </c>
      <c r="E216" s="62" t="s">
        <v>60</v>
      </c>
      <c r="F216" s="63" t="s">
        <v>61</v>
      </c>
      <c r="G216" s="9"/>
    </row>
    <row r="217" spans="1:7" x14ac:dyDescent="0.2">
      <c r="A217" s="304" t="s">
        <v>274</v>
      </c>
      <c r="B217" s="309" t="s">
        <v>8</v>
      </c>
      <c r="C217" s="310"/>
      <c r="D217" s="311"/>
      <c r="E217" s="307">
        <f t="shared" ref="E217:E218" si="5">C217*D217</f>
        <v>0</v>
      </c>
      <c r="F217" s="308"/>
      <c r="G217" s="9"/>
    </row>
    <row r="218" spans="1:7" ht="13.5" thickBot="1" x14ac:dyDescent="0.25">
      <c r="A218" s="304" t="s">
        <v>275</v>
      </c>
      <c r="B218" s="309" t="s">
        <v>8</v>
      </c>
      <c r="C218" s="312"/>
      <c r="D218" s="311"/>
      <c r="E218" s="307">
        <f t="shared" si="5"/>
        <v>0</v>
      </c>
      <c r="F218" s="308"/>
    </row>
    <row r="219" spans="1:7" ht="11.25" customHeight="1" thickBot="1" x14ac:dyDescent="0.25">
      <c r="A219" s="81"/>
      <c r="B219" s="81"/>
      <c r="C219" s="81"/>
      <c r="D219" s="313" t="s">
        <v>170</v>
      </c>
      <c r="E219" s="314">
        <v>1</v>
      </c>
      <c r="F219" s="82">
        <f>SUM(E213:E218)</f>
        <v>0</v>
      </c>
    </row>
    <row r="220" spans="1:7" ht="13.5" thickBot="1" x14ac:dyDescent="0.25">
      <c r="A220" s="81"/>
      <c r="B220" s="81"/>
      <c r="C220" s="81"/>
      <c r="D220" s="313"/>
      <c r="E220" s="316"/>
      <c r="F220" s="317"/>
    </row>
    <row r="221" spans="1:7" ht="13.5" thickBot="1" x14ac:dyDescent="0.25">
      <c r="A221" s="24" t="s">
        <v>276</v>
      </c>
      <c r="B221" s="25"/>
      <c r="C221" s="25"/>
      <c r="D221" s="26"/>
      <c r="E221" s="27"/>
      <c r="F221" s="21">
        <f>+F219</f>
        <v>0</v>
      </c>
    </row>
    <row r="222" spans="1:7" x14ac:dyDescent="0.2">
      <c r="A222" s="34"/>
      <c r="B222" s="34"/>
      <c r="C222" s="34"/>
      <c r="D222" s="35"/>
      <c r="E222" s="35"/>
      <c r="F222" s="315"/>
    </row>
    <row r="223" spans="1:7" x14ac:dyDescent="0.2">
      <c r="A223" s="34" t="s">
        <v>277</v>
      </c>
      <c r="B223" s="34"/>
      <c r="C223" s="34"/>
      <c r="D223" s="35"/>
      <c r="E223" s="35"/>
      <c r="F223" s="33"/>
    </row>
    <row r="224" spans="1:7" ht="13.5" thickBot="1" x14ac:dyDescent="0.25"/>
    <row r="225" spans="1:7" ht="13.5" thickBot="1" x14ac:dyDescent="0.25">
      <c r="A225" s="60" t="s">
        <v>58</v>
      </c>
      <c r="B225" s="61" t="s">
        <v>59</v>
      </c>
      <c r="C225" s="61" t="s">
        <v>36</v>
      </c>
      <c r="D225" s="62" t="s">
        <v>204</v>
      </c>
      <c r="E225" s="62" t="s">
        <v>60</v>
      </c>
      <c r="F225" s="63" t="s">
        <v>61</v>
      </c>
    </row>
    <row r="226" spans="1:7" s="51" customFormat="1" ht="11.25" customHeight="1" x14ac:dyDescent="0.2">
      <c r="A226" s="16" t="s">
        <v>190</v>
      </c>
      <c r="B226" s="53" t="s">
        <v>53</v>
      </c>
      <c r="C226" s="69">
        <f>C141</f>
        <v>1</v>
      </c>
      <c r="D226" s="88"/>
      <c r="E226" s="18">
        <f>+D226*C226</f>
        <v>0</v>
      </c>
      <c r="F226" s="55"/>
      <c r="G226" s="84"/>
    </row>
    <row r="227" spans="1:7" x14ac:dyDescent="0.2">
      <c r="A227" s="16" t="s">
        <v>55</v>
      </c>
      <c r="B227" s="53" t="s">
        <v>6</v>
      </c>
      <c r="C227" s="150">
        <v>60</v>
      </c>
      <c r="D227" s="80">
        <f>SUM(E226:E226)</f>
        <v>0</v>
      </c>
      <c r="E227" s="80">
        <f>+D227/C227</f>
        <v>0</v>
      </c>
      <c r="F227" s="55"/>
    </row>
    <row r="228" spans="1:7" ht="11.25" customHeight="1" x14ac:dyDescent="0.2">
      <c r="A228" s="16" t="s">
        <v>191</v>
      </c>
      <c r="B228" s="17" t="s">
        <v>8</v>
      </c>
      <c r="C228" s="69">
        <f>+C226</f>
        <v>1</v>
      </c>
      <c r="D228" s="88"/>
      <c r="E228" s="18">
        <f>C228*D228</f>
        <v>0</v>
      </c>
      <c r="F228" s="55"/>
    </row>
    <row r="229" spans="1:7" ht="17.25" customHeight="1" thickBot="1" x14ac:dyDescent="0.25">
      <c r="A229" s="16" t="s">
        <v>33</v>
      </c>
      <c r="B229" s="53" t="s">
        <v>6</v>
      </c>
      <c r="C229" s="150">
        <v>1</v>
      </c>
      <c r="D229" s="80">
        <f>+E228</f>
        <v>0</v>
      </c>
      <c r="E229" s="80">
        <f>+D229/C229</f>
        <v>0</v>
      </c>
      <c r="F229" s="55"/>
    </row>
    <row r="230" spans="1:7" ht="11.25" customHeight="1" thickBot="1" x14ac:dyDescent="0.25">
      <c r="A230" s="81"/>
      <c r="B230" s="81"/>
      <c r="C230" s="81"/>
      <c r="D230" s="120" t="s">
        <v>170</v>
      </c>
      <c r="E230" s="50">
        <f>$B$49</f>
        <v>0.5</v>
      </c>
      <c r="F230" s="82">
        <f>(E227+E229)*E230</f>
        <v>0</v>
      </c>
    </row>
    <row r="231" spans="1:7" ht="13.5" thickBot="1" x14ac:dyDescent="0.25"/>
    <row r="232" spans="1:7" ht="11.25" customHeight="1" thickBot="1" x14ac:dyDescent="0.25">
      <c r="A232" s="24" t="s">
        <v>189</v>
      </c>
      <c r="B232" s="25"/>
      <c r="C232" s="25"/>
      <c r="D232" s="26"/>
      <c r="E232" s="27"/>
      <c r="F232" s="21">
        <f>+F230</f>
        <v>0</v>
      </c>
    </row>
    <row r="233" spans="1:7" ht="13.5" thickBot="1" x14ac:dyDescent="0.25"/>
    <row r="234" spans="1:7" ht="13.5" thickBot="1" x14ac:dyDescent="0.25">
      <c r="A234" s="24" t="s">
        <v>194</v>
      </c>
      <c r="B234" s="28"/>
      <c r="C234" s="28"/>
      <c r="D234" s="29"/>
      <c r="E234" s="30"/>
      <c r="F234" s="22">
        <f>+F101+F133+F202+F212+F221+F232</f>
        <v>0</v>
      </c>
    </row>
    <row r="236" spans="1:7" ht="11.25" customHeight="1" x14ac:dyDescent="0.2">
      <c r="A236" s="11" t="s">
        <v>278</v>
      </c>
    </row>
    <row r="237" spans="1:7" ht="13.5" thickBot="1" x14ac:dyDescent="0.25"/>
    <row r="238" spans="1:7" ht="13.5" thickBot="1" x14ac:dyDescent="0.25">
      <c r="A238" s="60" t="s">
        <v>58</v>
      </c>
      <c r="B238" s="61" t="s">
        <v>59</v>
      </c>
      <c r="C238" s="61" t="s">
        <v>36</v>
      </c>
      <c r="D238" s="62" t="s">
        <v>204</v>
      </c>
      <c r="E238" s="62" t="s">
        <v>60</v>
      </c>
      <c r="F238" s="63" t="s">
        <v>61</v>
      </c>
    </row>
    <row r="239" spans="1:7" ht="11.25" customHeight="1" thickBot="1" x14ac:dyDescent="0.25">
      <c r="A239" s="13" t="s">
        <v>32</v>
      </c>
      <c r="B239" s="14" t="s">
        <v>1</v>
      </c>
      <c r="C239" s="137">
        <f>'4.BDI'!C20*100</f>
        <v>27.27</v>
      </c>
      <c r="D239" s="15">
        <f>+F234</f>
        <v>0</v>
      </c>
      <c r="E239" s="15">
        <f>C239*D239/100</f>
        <v>0</v>
      </c>
    </row>
    <row r="240" spans="1:7" ht="24.75" customHeight="1" thickBot="1" x14ac:dyDescent="0.25">
      <c r="F240" s="21">
        <f>+E239</f>
        <v>0</v>
      </c>
    </row>
    <row r="241" spans="1:7" ht="12.6" customHeight="1" thickBot="1" x14ac:dyDescent="0.25"/>
    <row r="242" spans="1:7" ht="13.5" thickBot="1" x14ac:dyDescent="0.25">
      <c r="A242" s="24" t="s">
        <v>209</v>
      </c>
      <c r="B242" s="28"/>
      <c r="C242" s="28"/>
      <c r="D242" s="29"/>
      <c r="E242" s="30"/>
      <c r="F242" s="22">
        <f>F240</f>
        <v>0</v>
      </c>
    </row>
    <row r="243" spans="1:7" ht="12.6" customHeight="1" x14ac:dyDescent="0.2">
      <c r="A243" s="34"/>
      <c r="B243" s="34"/>
      <c r="C243" s="34"/>
      <c r="D243" s="35"/>
      <c r="E243" s="35"/>
      <c r="F243" s="33"/>
    </row>
    <row r="244" spans="1:7" s="4" customFormat="1" ht="9.75" customHeight="1" thickBot="1" x14ac:dyDescent="0.25">
      <c r="A244" s="9"/>
      <c r="B244" s="9"/>
      <c r="C244" s="9"/>
      <c r="D244" s="10"/>
      <c r="E244" s="10"/>
      <c r="F244" s="10"/>
      <c r="G244" s="6"/>
    </row>
    <row r="245" spans="1:7" s="4" customFormat="1" ht="15.75" customHeight="1" thickBot="1" x14ac:dyDescent="0.25">
      <c r="A245" s="24" t="s">
        <v>195</v>
      </c>
      <c r="B245" s="28"/>
      <c r="C245" s="28"/>
      <c r="D245" s="29"/>
      <c r="E245" s="30"/>
      <c r="F245" s="22">
        <f>F234+F242</f>
        <v>0</v>
      </c>
      <c r="G245" s="6"/>
    </row>
    <row r="246" spans="1:7" s="4" customFormat="1" ht="9.75" customHeight="1" x14ac:dyDescent="0.2">
      <c r="A246" s="34"/>
      <c r="B246" s="54"/>
      <c r="C246" s="54"/>
      <c r="D246" s="59"/>
      <c r="E246" s="59"/>
      <c r="F246" s="323"/>
      <c r="G246" s="6"/>
    </row>
    <row r="247" spans="1:7" s="4" customFormat="1" ht="9.75" customHeight="1" x14ac:dyDescent="0.2">
      <c r="A247" s="34"/>
      <c r="B247" s="54"/>
      <c r="C247" s="54"/>
      <c r="D247" s="59"/>
      <c r="E247" s="59"/>
      <c r="F247" s="323"/>
      <c r="G247" s="6"/>
    </row>
    <row r="248" spans="1:7" s="4" customFormat="1" ht="9.75" customHeight="1" x14ac:dyDescent="0.2">
      <c r="A248" s="34"/>
      <c r="B248" s="54"/>
      <c r="C248" s="54"/>
      <c r="D248" s="59"/>
      <c r="E248" s="59"/>
      <c r="F248" s="323"/>
      <c r="G248" s="6"/>
    </row>
    <row r="249" spans="1:7" s="4" customFormat="1" ht="9.75" customHeight="1" thickBot="1" x14ac:dyDescent="0.25">
      <c r="A249" s="56"/>
      <c r="B249" s="56"/>
      <c r="C249" s="56"/>
      <c r="D249" s="57"/>
      <c r="E249" s="57"/>
      <c r="F249" s="57"/>
      <c r="G249" s="6"/>
    </row>
    <row r="250" spans="1:7" ht="14.25" x14ac:dyDescent="0.2">
      <c r="A250" s="443" t="s">
        <v>287</v>
      </c>
      <c r="B250" s="444"/>
      <c r="C250" s="444"/>
      <c r="D250" s="445" t="s">
        <v>31</v>
      </c>
      <c r="E250" s="446">
        <f>F245</f>
        <v>0</v>
      </c>
    </row>
    <row r="251" spans="1:7" ht="14.25" x14ac:dyDescent="0.2">
      <c r="A251" s="447"/>
      <c r="B251" s="325"/>
      <c r="C251" s="325"/>
      <c r="D251" s="326"/>
      <c r="E251" s="448"/>
      <c r="F251" s="35"/>
    </row>
    <row r="252" spans="1:7" ht="14.25" x14ac:dyDescent="0.2">
      <c r="A252" s="449" t="s">
        <v>288</v>
      </c>
      <c r="B252" s="325"/>
      <c r="C252" s="325"/>
      <c r="D252" s="329" t="s">
        <v>31</v>
      </c>
      <c r="E252" s="450"/>
    </row>
    <row r="253" spans="1:7" ht="14.25" x14ac:dyDescent="0.2">
      <c r="A253" s="447"/>
      <c r="B253" s="325"/>
      <c r="C253" s="325"/>
      <c r="D253" s="327"/>
      <c r="E253" s="451"/>
    </row>
    <row r="254" spans="1:7" ht="14.25" x14ac:dyDescent="0.2">
      <c r="A254" s="459" t="s">
        <v>289</v>
      </c>
      <c r="B254" s="460"/>
      <c r="C254" s="460"/>
      <c r="D254" s="329" t="s">
        <v>31</v>
      </c>
      <c r="E254" s="452">
        <f>E252+E250</f>
        <v>0</v>
      </c>
    </row>
    <row r="255" spans="1:7" ht="14.25" x14ac:dyDescent="0.2">
      <c r="A255" s="453"/>
      <c r="B255" s="328"/>
      <c r="C255" s="328"/>
      <c r="D255" s="327"/>
      <c r="E255" s="454"/>
    </row>
    <row r="256" spans="1:7" ht="14.25" x14ac:dyDescent="0.2">
      <c r="A256" s="461" t="s">
        <v>290</v>
      </c>
      <c r="B256" s="462"/>
      <c r="C256" s="462"/>
      <c r="D256" s="329"/>
      <c r="E256" s="452">
        <v>33</v>
      </c>
    </row>
    <row r="257" spans="1:6" s="9" customFormat="1" ht="14.25" x14ac:dyDescent="0.2">
      <c r="A257" s="453"/>
      <c r="B257" s="328"/>
      <c r="C257" s="328"/>
      <c r="D257" s="327"/>
      <c r="E257" s="454"/>
      <c r="F257" s="10"/>
    </row>
    <row r="258" spans="1:6" s="9" customFormat="1" ht="15" thickBot="1" x14ac:dyDescent="0.25">
      <c r="A258" s="463" t="s">
        <v>291</v>
      </c>
      <c r="B258" s="464"/>
      <c r="C258" s="464"/>
      <c r="D258" s="455" t="s">
        <v>31</v>
      </c>
      <c r="E258" s="456">
        <f>E254/E256</f>
        <v>0</v>
      </c>
      <c r="F258" s="59"/>
    </row>
    <row r="259" spans="1:6" s="9" customFormat="1" ht="14.25" x14ac:dyDescent="0.2">
      <c r="A259" s="8"/>
      <c r="B259" s="8"/>
      <c r="C259" s="8"/>
      <c r="D259" s="36"/>
      <c r="E259" s="36"/>
      <c r="F259" s="10"/>
    </row>
    <row r="260" spans="1:6" s="9" customFormat="1" x14ac:dyDescent="0.2">
      <c r="A260" s="34"/>
      <c r="B260" s="34"/>
      <c r="C260" s="34"/>
      <c r="D260" s="35"/>
      <c r="E260" s="35"/>
      <c r="F260" s="10"/>
    </row>
    <row r="261" spans="1:6" s="9" customFormat="1" ht="15.75" x14ac:dyDescent="0.2">
      <c r="A261" s="39"/>
      <c r="B261" s="10"/>
      <c r="C261" s="10"/>
      <c r="D261" s="10"/>
      <c r="E261" s="10"/>
      <c r="F261" s="10"/>
    </row>
    <row r="262" spans="1:6" s="9" customFormat="1" ht="15.75" x14ac:dyDescent="0.2">
      <c r="A262" s="39"/>
      <c r="B262" s="10"/>
      <c r="C262" s="10"/>
      <c r="D262" s="10"/>
      <c r="E262" s="10"/>
      <c r="F262" s="10"/>
    </row>
    <row r="263" spans="1:6" s="9" customFormat="1" ht="15.75" x14ac:dyDescent="0.2">
      <c r="A263" s="39"/>
      <c r="B263" s="10"/>
      <c r="C263" s="10"/>
      <c r="D263" s="10"/>
      <c r="E263" s="10"/>
      <c r="F263" s="10"/>
    </row>
    <row r="264" spans="1:6" s="9" customFormat="1" ht="15.75" x14ac:dyDescent="0.2">
      <c r="A264" s="39"/>
      <c r="B264" s="10"/>
      <c r="C264" s="10"/>
      <c r="D264" s="10"/>
      <c r="E264" s="10"/>
      <c r="F264" s="10"/>
    </row>
    <row r="265" spans="1:6" s="9" customFormat="1" ht="15.75" x14ac:dyDescent="0.2">
      <c r="A265" s="39"/>
      <c r="B265" s="10"/>
      <c r="C265" s="10"/>
      <c r="D265" s="10"/>
      <c r="E265" s="10"/>
      <c r="F265" s="10"/>
    </row>
    <row r="266" spans="1:6" s="9" customFormat="1" ht="15.75" x14ac:dyDescent="0.2">
      <c r="A266" s="39"/>
      <c r="B266" s="10"/>
      <c r="C266" s="10"/>
      <c r="D266" s="10"/>
      <c r="E266" s="10"/>
      <c r="F266" s="10"/>
    </row>
    <row r="267" spans="1:6" s="9" customFormat="1" ht="15.75" x14ac:dyDescent="0.2">
      <c r="A267" s="39"/>
      <c r="B267" s="10"/>
      <c r="C267" s="10"/>
      <c r="D267" s="10"/>
      <c r="E267" s="10"/>
      <c r="F267" s="10"/>
    </row>
    <row r="268" spans="1:6" s="9" customFormat="1" ht="15.75" x14ac:dyDescent="0.2">
      <c r="A268" s="39"/>
      <c r="B268" s="10"/>
      <c r="C268" s="10"/>
      <c r="D268" s="10"/>
      <c r="E268" s="10"/>
      <c r="F268" s="10"/>
    </row>
    <row r="269" spans="1:6" s="9" customFormat="1" ht="15.75" x14ac:dyDescent="0.2">
      <c r="A269" s="39"/>
      <c r="B269" s="10"/>
      <c r="C269" s="10"/>
      <c r="D269" s="10"/>
      <c r="E269" s="10"/>
      <c r="F269" s="10"/>
    </row>
    <row r="285" s="9" customFormat="1" ht="9" customHeight="1" x14ac:dyDescent="0.2"/>
    <row r="290" spans="4:6" s="9" customFormat="1" x14ac:dyDescent="0.2">
      <c r="D290" s="10"/>
      <c r="E290" s="10"/>
    </row>
    <row r="299" spans="4:6" s="9" customFormat="1" x14ac:dyDescent="0.2">
      <c r="F299" s="10"/>
    </row>
  </sheetData>
  <mergeCells count="12">
    <mergeCell ref="A7:F7"/>
    <mergeCell ref="A8:F8"/>
    <mergeCell ref="A254:C254"/>
    <mergeCell ref="A256:C256"/>
    <mergeCell ref="A258:C258"/>
    <mergeCell ref="A45:D45"/>
    <mergeCell ref="A23:C23"/>
    <mergeCell ref="A11:F11"/>
    <mergeCell ref="A12:F12"/>
    <mergeCell ref="A40:D40"/>
    <mergeCell ref="A14:F14"/>
    <mergeCell ref="A39:E39"/>
  </mergeCells>
  <phoneticPr fontId="9" type="noConversion"/>
  <hyperlinks>
    <hyperlink ref="A150" location="AbaRemun" display="3.1.2. Remuneração do Capital"/>
    <hyperlink ref="A139" location="AbaDeprec" display="3.1.1. Depreciação"/>
  </hyperlinks>
  <pageMargins left="0.9055118110236221" right="0.51181102362204722" top="0.74803149606299213" bottom="0.74803149606299213" header="0.31496062992125984" footer="0.31496062992125984"/>
  <pageSetup paperSize="9" scale="74" fitToHeight="0" orientation="portrait" r:id="rId1"/>
  <headerFooter alignWithMargins="0">
    <oddFooter>&amp;R&amp;P de &amp;N</oddFooter>
  </headerFooter>
  <rowBreaks count="4" manualBreakCount="4">
    <brk id="50" max="5" man="1"/>
    <brk id="75" max="5" man="1"/>
    <brk id="134" max="5" man="1"/>
    <brk id="191" max="5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topLeftCell="A22" zoomScaleNormal="100" workbookViewId="0">
      <selection activeCell="B24" sqref="B24"/>
    </sheetView>
  </sheetViews>
  <sheetFormatPr defaultRowHeight="12.75" x14ac:dyDescent="0.2"/>
  <cols>
    <col min="1" max="1" width="13.5703125" style="1" customWidth="1"/>
    <col min="2" max="2" width="39.5703125" style="1" bestFit="1" customWidth="1"/>
    <col min="3" max="3" width="14.5703125" style="1" customWidth="1"/>
    <col min="4" max="4" width="37.28515625" style="153" customWidth="1"/>
    <col min="5" max="10" width="9.140625" style="1"/>
    <col min="11" max="11" width="11" style="1" bestFit="1" customWidth="1"/>
    <col min="12" max="16384" width="9.140625" style="1"/>
  </cols>
  <sheetData>
    <row r="1" spans="1:12" x14ac:dyDescent="0.2">
      <c r="A1" s="11" t="s">
        <v>177</v>
      </c>
    </row>
    <row r="2" spans="1:12" x14ac:dyDescent="0.2">
      <c r="A2" s="136" t="s">
        <v>215</v>
      </c>
    </row>
    <row r="3" spans="1:12" s="4" customFormat="1" ht="15.6" customHeight="1" x14ac:dyDescent="0.2">
      <c r="B3" s="135"/>
      <c r="C3" s="135"/>
      <c r="D3" s="135"/>
      <c r="E3" s="135"/>
      <c r="F3" s="135"/>
      <c r="G3" s="6"/>
    </row>
    <row r="4" spans="1:12" s="4" customFormat="1" ht="15.6" customHeight="1" x14ac:dyDescent="0.2">
      <c r="A4" s="295" t="s">
        <v>256</v>
      </c>
      <c r="B4" s="135"/>
      <c r="C4" s="135"/>
      <c r="D4" s="135"/>
      <c r="E4" s="135"/>
      <c r="F4" s="135"/>
      <c r="G4" s="6"/>
    </row>
    <row r="5" spans="1:12" s="4" customFormat="1" ht="16.5" customHeight="1" x14ac:dyDescent="0.2">
      <c r="A5" s="295" t="s">
        <v>253</v>
      </c>
      <c r="B5" s="5"/>
      <c r="C5" s="5"/>
      <c r="D5" s="6"/>
      <c r="E5" s="6"/>
      <c r="F5" s="6"/>
      <c r="G5" s="6"/>
    </row>
    <row r="6" spans="1:12" ht="13.5" thickBot="1" x14ac:dyDescent="0.25"/>
    <row r="7" spans="1:12" ht="18" x14ac:dyDescent="0.2">
      <c r="A7" s="481" t="s">
        <v>198</v>
      </c>
      <c r="B7" s="482"/>
      <c r="C7" s="483"/>
      <c r="D7" s="145"/>
      <c r="E7" s="145"/>
      <c r="F7" s="145"/>
    </row>
    <row r="8" spans="1:12" ht="14.25" x14ac:dyDescent="0.2">
      <c r="A8" s="164" t="s">
        <v>116</v>
      </c>
      <c r="B8" s="165" t="s">
        <v>117</v>
      </c>
      <c r="C8" s="166" t="s">
        <v>118</v>
      </c>
      <c r="D8" s="167"/>
    </row>
    <row r="9" spans="1:12" ht="14.25" x14ac:dyDescent="0.2">
      <c r="A9" s="164" t="s">
        <v>119</v>
      </c>
      <c r="B9" s="165" t="s">
        <v>37</v>
      </c>
      <c r="C9" s="168">
        <v>0.2</v>
      </c>
      <c r="D9" s="167"/>
      <c r="F9" s="153"/>
      <c r="G9" s="153"/>
      <c r="H9" s="153"/>
      <c r="I9" s="153"/>
      <c r="J9" s="153"/>
      <c r="K9" s="153"/>
      <c r="L9" s="153"/>
    </row>
    <row r="10" spans="1:12" ht="14.25" x14ac:dyDescent="0.2">
      <c r="A10" s="164" t="s">
        <v>120</v>
      </c>
      <c r="B10" s="165" t="s">
        <v>121</v>
      </c>
      <c r="C10" s="168">
        <v>1.4999999999999999E-2</v>
      </c>
      <c r="D10" s="167"/>
      <c r="F10" s="153"/>
      <c r="G10" s="153"/>
      <c r="H10" s="153"/>
      <c r="I10" s="153"/>
      <c r="J10" s="153"/>
      <c r="K10" s="153"/>
      <c r="L10" s="153"/>
    </row>
    <row r="11" spans="1:12" ht="14.25" x14ac:dyDescent="0.2">
      <c r="A11" s="164" t="s">
        <v>122</v>
      </c>
      <c r="B11" s="165" t="s">
        <v>123</v>
      </c>
      <c r="C11" s="168">
        <v>0.01</v>
      </c>
      <c r="D11" s="167"/>
      <c r="F11" s="153"/>
      <c r="G11" s="153"/>
      <c r="H11" s="153"/>
      <c r="I11" s="153"/>
      <c r="J11" s="153"/>
      <c r="K11" s="153"/>
      <c r="L11" s="153"/>
    </row>
    <row r="12" spans="1:12" ht="14.25" x14ac:dyDescent="0.2">
      <c r="A12" s="164" t="s">
        <v>124</v>
      </c>
      <c r="B12" s="165" t="s">
        <v>125</v>
      </c>
      <c r="C12" s="168">
        <v>2E-3</v>
      </c>
      <c r="D12" s="167"/>
      <c r="F12" s="153"/>
      <c r="G12" s="153"/>
      <c r="H12" s="153"/>
      <c r="I12" s="153"/>
      <c r="J12" s="153"/>
      <c r="K12" s="153"/>
      <c r="L12" s="153"/>
    </row>
    <row r="13" spans="1:12" ht="14.25" x14ac:dyDescent="0.2">
      <c r="A13" s="164" t="s">
        <v>126</v>
      </c>
      <c r="B13" s="165" t="s">
        <v>127</v>
      </c>
      <c r="C13" s="168">
        <v>6.0000000000000001E-3</v>
      </c>
      <c r="D13" s="167"/>
      <c r="F13" s="153"/>
      <c r="G13" s="153"/>
      <c r="H13" s="153"/>
      <c r="I13" s="153"/>
      <c r="J13" s="153"/>
      <c r="K13" s="153"/>
      <c r="L13" s="153"/>
    </row>
    <row r="14" spans="1:12" ht="14.25" x14ac:dyDescent="0.2">
      <c r="A14" s="164" t="s">
        <v>128</v>
      </c>
      <c r="B14" s="165" t="s">
        <v>129</v>
      </c>
      <c r="C14" s="168">
        <v>2.5000000000000001E-2</v>
      </c>
      <c r="D14" s="167"/>
      <c r="F14" s="153"/>
      <c r="G14" s="153"/>
      <c r="H14" s="153"/>
      <c r="I14" s="153"/>
      <c r="J14" s="153"/>
      <c r="K14" s="153"/>
      <c r="L14" s="153"/>
    </row>
    <row r="15" spans="1:12" ht="14.25" x14ac:dyDescent="0.2">
      <c r="A15" s="164" t="s">
        <v>130</v>
      </c>
      <c r="B15" s="165" t="s">
        <v>131</v>
      </c>
      <c r="C15" s="168">
        <v>0.03</v>
      </c>
      <c r="D15" s="167"/>
      <c r="F15" s="153"/>
      <c r="G15" s="153"/>
      <c r="H15" s="153"/>
      <c r="I15" s="153"/>
      <c r="J15" s="153"/>
      <c r="K15" s="153"/>
      <c r="L15" s="153"/>
    </row>
    <row r="16" spans="1:12" ht="14.25" x14ac:dyDescent="0.2">
      <c r="A16" s="164" t="s">
        <v>132</v>
      </c>
      <c r="B16" s="165" t="s">
        <v>38</v>
      </c>
      <c r="C16" s="168">
        <v>0.08</v>
      </c>
      <c r="D16" s="169"/>
      <c r="F16" s="153"/>
      <c r="G16" s="153"/>
      <c r="H16" s="153"/>
      <c r="I16" s="153"/>
      <c r="J16" s="153"/>
      <c r="K16" s="153"/>
      <c r="L16" s="153"/>
    </row>
    <row r="17" spans="1:12" ht="15" x14ac:dyDescent="0.2">
      <c r="A17" s="164" t="s">
        <v>133</v>
      </c>
      <c r="B17" s="170" t="s">
        <v>134</v>
      </c>
      <c r="C17" s="171">
        <f>SUM(C9:C16)</f>
        <v>0.36800000000000005</v>
      </c>
      <c r="D17" s="169"/>
      <c r="F17" s="153"/>
      <c r="G17" s="153"/>
      <c r="H17" s="153"/>
      <c r="I17" s="153"/>
      <c r="J17" s="153"/>
      <c r="K17" s="153"/>
      <c r="L17" s="153"/>
    </row>
    <row r="18" spans="1:12" ht="15" x14ac:dyDescent="0.2">
      <c r="A18" s="172"/>
      <c r="B18" s="173"/>
      <c r="C18" s="174"/>
      <c r="D18" s="169"/>
      <c r="F18" s="153"/>
      <c r="G18" s="153"/>
      <c r="H18" s="153"/>
      <c r="I18" s="153"/>
      <c r="J18" s="153"/>
      <c r="K18" s="153"/>
      <c r="L18" s="153"/>
    </row>
    <row r="19" spans="1:12" ht="14.25" x14ac:dyDescent="0.2">
      <c r="A19" s="164" t="s">
        <v>135</v>
      </c>
      <c r="B19" s="175" t="s">
        <v>136</v>
      </c>
      <c r="C19" s="168">
        <f>ROUND(IF('3.CAGED'!C28&gt;24,(1-12/'3.CAGED'!C28)*0.1111,0.1111-C28),4)</f>
        <v>6.1899999999999997E-2</v>
      </c>
      <c r="D19" s="169"/>
      <c r="F19" s="153"/>
      <c r="G19" s="153"/>
      <c r="H19" s="153"/>
      <c r="I19" s="153"/>
      <c r="J19" s="153"/>
      <c r="K19" s="153"/>
      <c r="L19" s="153"/>
    </row>
    <row r="20" spans="1:12" ht="14.25" x14ac:dyDescent="0.2">
      <c r="A20" s="164" t="s">
        <v>137</v>
      </c>
      <c r="B20" s="175" t="s">
        <v>138</v>
      </c>
      <c r="C20" s="168">
        <f>ROUND('3.CAGED'!C32/'3.CAGED'!C29,4)</f>
        <v>8.3299999999999999E-2</v>
      </c>
      <c r="D20" s="169"/>
      <c r="F20" s="153"/>
      <c r="G20" s="153"/>
      <c r="H20" s="153"/>
      <c r="I20" s="153"/>
      <c r="J20" s="153"/>
      <c r="K20" s="153"/>
      <c r="L20" s="153"/>
    </row>
    <row r="21" spans="1:12" ht="14.25" x14ac:dyDescent="0.2">
      <c r="A21" s="164" t="s">
        <v>187</v>
      </c>
      <c r="B21" s="175" t="s">
        <v>140</v>
      </c>
      <c r="C21" s="168">
        <v>5.9999999999999995E-4</v>
      </c>
      <c r="D21" s="169"/>
      <c r="F21" s="153"/>
      <c r="G21" s="153"/>
      <c r="H21" s="153"/>
      <c r="I21" s="153"/>
      <c r="J21" s="153"/>
      <c r="K21" s="153"/>
      <c r="L21" s="153"/>
    </row>
    <row r="22" spans="1:12" ht="14.25" x14ac:dyDescent="0.2">
      <c r="A22" s="164" t="s">
        <v>139</v>
      </c>
      <c r="B22" s="175" t="s">
        <v>142</v>
      </c>
      <c r="C22" s="168">
        <v>8.2000000000000007E-3</v>
      </c>
      <c r="D22" s="169"/>
      <c r="F22" s="153"/>
      <c r="G22" s="153"/>
      <c r="H22" s="153"/>
      <c r="I22" s="153"/>
      <c r="J22" s="153"/>
      <c r="K22" s="153"/>
      <c r="L22" s="153"/>
    </row>
    <row r="23" spans="1:12" ht="14.25" x14ac:dyDescent="0.2">
      <c r="A23" s="164" t="s">
        <v>141</v>
      </c>
      <c r="B23" s="175" t="s">
        <v>144</v>
      </c>
      <c r="C23" s="168">
        <v>3.0999999999999999E-3</v>
      </c>
      <c r="D23" s="169"/>
      <c r="F23" s="153"/>
      <c r="G23" s="153"/>
      <c r="H23" s="153"/>
      <c r="I23" s="153"/>
      <c r="J23" s="153"/>
      <c r="K23" s="153"/>
      <c r="L23" s="153"/>
    </row>
    <row r="24" spans="1:12" ht="14.25" x14ac:dyDescent="0.2">
      <c r="A24" s="164" t="s">
        <v>143</v>
      </c>
      <c r="B24" s="175" t="s">
        <v>145</v>
      </c>
      <c r="C24" s="168">
        <v>1.66E-2</v>
      </c>
      <c r="D24" s="169"/>
      <c r="F24" s="153"/>
      <c r="G24" s="153"/>
      <c r="H24" s="153"/>
      <c r="I24" s="153"/>
      <c r="J24" s="153"/>
      <c r="K24" s="153"/>
      <c r="L24" s="153"/>
    </row>
    <row r="25" spans="1:12" ht="15" x14ac:dyDescent="0.2">
      <c r="A25" s="164" t="s">
        <v>146</v>
      </c>
      <c r="B25" s="170" t="s">
        <v>147</v>
      </c>
      <c r="C25" s="171">
        <f>SUM(C19:C24)</f>
        <v>0.17369999999999999</v>
      </c>
      <c r="D25" s="176"/>
      <c r="F25" s="153"/>
      <c r="G25" s="153"/>
      <c r="H25" s="153"/>
      <c r="I25" s="153"/>
      <c r="J25" s="153"/>
      <c r="K25" s="153"/>
      <c r="L25" s="153"/>
    </row>
    <row r="26" spans="1:12" ht="15" x14ac:dyDescent="0.2">
      <c r="A26" s="172"/>
      <c r="B26" s="173"/>
      <c r="C26" s="174"/>
      <c r="D26" s="176"/>
      <c r="F26" s="153"/>
      <c r="G26" s="153"/>
      <c r="H26" s="153"/>
      <c r="I26" s="153"/>
      <c r="J26" s="153"/>
      <c r="K26" s="153"/>
      <c r="L26" s="153"/>
    </row>
    <row r="27" spans="1:12" ht="14.25" x14ac:dyDescent="0.2">
      <c r="A27" s="164" t="s">
        <v>148</v>
      </c>
      <c r="B27" s="165" t="s">
        <v>149</v>
      </c>
      <c r="C27" s="168">
        <f>ROUND(('3.CAGED'!C33) *'3.CAGED'!C26/'3.CAGED'!C29,4)</f>
        <v>2.5600000000000001E-2</v>
      </c>
      <c r="D27" s="169"/>
      <c r="E27" s="177"/>
      <c r="F27" s="153"/>
      <c r="G27" s="153"/>
      <c r="H27" s="153"/>
      <c r="I27" s="153"/>
      <c r="J27" s="153"/>
      <c r="K27" s="153"/>
      <c r="L27" s="153"/>
    </row>
    <row r="28" spans="1:12" ht="14.25" x14ac:dyDescent="0.2">
      <c r="A28" s="164" t="s">
        <v>186</v>
      </c>
      <c r="B28" s="165" t="s">
        <v>151</v>
      </c>
      <c r="C28" s="168">
        <f>ROUND(IF('3.CAGED'!C28&gt;12,12/'3.CAGED'!C28*0.1111,0.1111),4)</f>
        <v>4.9200000000000001E-2</v>
      </c>
      <c r="D28" s="169"/>
      <c r="F28" s="153"/>
      <c r="G28" s="153"/>
      <c r="H28" s="178"/>
      <c r="I28" s="153"/>
      <c r="J28" s="153"/>
      <c r="K28" s="153"/>
      <c r="L28" s="153"/>
    </row>
    <row r="29" spans="1:12" ht="14.25" x14ac:dyDescent="0.2">
      <c r="A29" s="164" t="s">
        <v>150</v>
      </c>
      <c r="B29" s="165" t="s">
        <v>153</v>
      </c>
      <c r="C29" s="168">
        <f>C27*C28</f>
        <v>1.2595200000000001E-3</v>
      </c>
      <c r="D29" s="169"/>
      <c r="E29" s="177"/>
      <c r="F29" s="153"/>
      <c r="G29" s="153"/>
      <c r="H29" s="153"/>
      <c r="I29" s="153"/>
      <c r="J29" s="153"/>
      <c r="K29" s="153"/>
      <c r="L29" s="153"/>
    </row>
    <row r="30" spans="1:12" ht="14.25" x14ac:dyDescent="0.2">
      <c r="A30" s="164" t="s">
        <v>152</v>
      </c>
      <c r="B30" s="165" t="s">
        <v>155</v>
      </c>
      <c r="C30" s="168">
        <f>ROUND(('3.CAGED'!C29+'3.CAGED'!C30+'3.CAGED'!C32)/'3.CAGED'!C27*'3.CAGED'!C34*'3.CAGED'!C35*'3.CAGED'!C26/'3.CAGED'!C29,4)</f>
        <v>2.0500000000000001E-2</v>
      </c>
      <c r="D30" s="169"/>
      <c r="F30" s="153"/>
      <c r="G30" s="179"/>
      <c r="H30" s="153"/>
      <c r="I30" s="153"/>
      <c r="J30" s="153"/>
      <c r="K30" s="153"/>
      <c r="L30" s="153"/>
    </row>
    <row r="31" spans="1:12" ht="14.25" x14ac:dyDescent="0.2">
      <c r="A31" s="164" t="s">
        <v>154</v>
      </c>
      <c r="B31" s="165" t="s">
        <v>156</v>
      </c>
      <c r="C31" s="168">
        <f>ROUND(('3.CAGED'!C31/'3.CAGED'!C29)*'3.CAGED'!C26/12,4)</f>
        <v>1.8E-3</v>
      </c>
      <c r="D31" s="169"/>
      <c r="F31" s="153"/>
      <c r="G31" s="153"/>
      <c r="H31" s="153"/>
      <c r="I31" s="153"/>
      <c r="J31" s="153"/>
      <c r="K31" s="153"/>
      <c r="L31" s="153"/>
    </row>
    <row r="32" spans="1:12" ht="15" x14ac:dyDescent="0.2">
      <c r="A32" s="164" t="s">
        <v>157</v>
      </c>
      <c r="B32" s="170" t="s">
        <v>158</v>
      </c>
      <c r="C32" s="171">
        <f>SUM(C27:C31)</f>
        <v>9.8359520000000006E-2</v>
      </c>
      <c r="D32" s="176"/>
      <c r="F32" s="153"/>
      <c r="G32" s="153"/>
      <c r="H32" s="153"/>
      <c r="I32" s="153"/>
      <c r="J32" s="153"/>
      <c r="K32" s="153"/>
      <c r="L32" s="153"/>
    </row>
    <row r="33" spans="1:12" ht="15" x14ac:dyDescent="0.2">
      <c r="A33" s="172"/>
      <c r="B33" s="173"/>
      <c r="C33" s="174"/>
      <c r="D33" s="176"/>
      <c r="F33" s="153"/>
      <c r="G33" s="153"/>
      <c r="H33" s="153"/>
      <c r="I33" s="153"/>
      <c r="J33" s="153"/>
      <c r="K33" s="153"/>
      <c r="L33" s="153"/>
    </row>
    <row r="34" spans="1:12" ht="14.25" x14ac:dyDescent="0.2">
      <c r="A34" s="164" t="s">
        <v>159</v>
      </c>
      <c r="B34" s="165" t="s">
        <v>160</v>
      </c>
      <c r="C34" s="168">
        <f>ROUND(C17*C25,4)</f>
        <v>6.3899999999999998E-2</v>
      </c>
      <c r="D34" s="169"/>
      <c r="F34" s="153"/>
      <c r="G34" s="153"/>
      <c r="H34" s="153"/>
      <c r="I34" s="153"/>
      <c r="J34" s="153"/>
      <c r="K34" s="153"/>
      <c r="L34" s="153"/>
    </row>
    <row r="35" spans="1:12" ht="28.5" x14ac:dyDescent="0.2">
      <c r="A35" s="164" t="s">
        <v>161</v>
      </c>
      <c r="B35" s="180" t="s">
        <v>252</v>
      </c>
      <c r="C35" s="168">
        <f>ROUND((C27*C16),4)</f>
        <v>2E-3</v>
      </c>
      <c r="D35" s="169"/>
      <c r="F35" s="153"/>
      <c r="G35" s="153"/>
      <c r="H35" s="153"/>
      <c r="I35" s="153"/>
      <c r="J35" s="153"/>
      <c r="K35" s="153"/>
      <c r="L35" s="153"/>
    </row>
    <row r="36" spans="1:12" ht="15" x14ac:dyDescent="0.2">
      <c r="A36" s="164" t="s">
        <v>162</v>
      </c>
      <c r="B36" s="170" t="s">
        <v>163</v>
      </c>
      <c r="C36" s="171">
        <f>SUM(C34:C35)</f>
        <v>6.59E-2</v>
      </c>
      <c r="D36" s="181"/>
      <c r="F36" s="153"/>
      <c r="G36" s="153"/>
      <c r="H36" s="153"/>
      <c r="I36" s="153"/>
      <c r="J36" s="153"/>
      <c r="K36" s="153"/>
      <c r="L36" s="153"/>
    </row>
    <row r="37" spans="1:12" ht="15.75" thickBot="1" x14ac:dyDescent="0.25">
      <c r="A37" s="182"/>
      <c r="B37" s="183" t="s">
        <v>164</v>
      </c>
      <c r="C37" s="184">
        <f>C36+C32+C25+C17</f>
        <v>0.70595951999999995</v>
      </c>
      <c r="D37" s="181"/>
      <c r="F37" s="153"/>
      <c r="G37" s="153"/>
      <c r="H37" s="153"/>
      <c r="I37" s="153"/>
      <c r="J37" s="153"/>
      <c r="K37" s="153"/>
      <c r="L37" s="153"/>
    </row>
    <row r="38" spans="1:12" ht="15" x14ac:dyDescent="0.2">
      <c r="A38" s="169"/>
      <c r="B38" s="185"/>
      <c r="C38" s="186"/>
      <c r="D38" s="187"/>
      <c r="F38" s="153"/>
      <c r="G38" s="153"/>
      <c r="H38" s="153"/>
      <c r="I38" s="153"/>
      <c r="J38" s="153"/>
      <c r="K38" s="153"/>
      <c r="L38" s="153"/>
    </row>
    <row r="39" spans="1:12" ht="14.25" x14ac:dyDescent="0.2">
      <c r="A39" s="169"/>
      <c r="B39" s="169"/>
      <c r="C39" s="188"/>
      <c r="D39" s="189"/>
      <c r="F39" s="153"/>
      <c r="G39" s="153"/>
      <c r="H39" s="153"/>
      <c r="I39" s="153"/>
      <c r="J39" s="153"/>
      <c r="K39" s="153"/>
      <c r="L39" s="153"/>
    </row>
    <row r="40" spans="1:12" ht="14.25" x14ac:dyDescent="0.2">
      <c r="A40" s="167"/>
      <c r="B40" s="167"/>
      <c r="C40" s="190"/>
      <c r="D40" s="167"/>
      <c r="F40" s="153"/>
      <c r="G40" s="153"/>
      <c r="H40" s="153"/>
      <c r="I40" s="153"/>
      <c r="J40" s="153"/>
      <c r="K40" s="153"/>
      <c r="L40" s="153"/>
    </row>
    <row r="41" spans="1:12" ht="14.25" x14ac:dyDescent="0.2">
      <c r="A41" s="167"/>
      <c r="B41" s="167"/>
      <c r="C41" s="190"/>
      <c r="D41" s="167"/>
      <c r="F41" s="153"/>
      <c r="G41" s="153"/>
      <c r="H41" s="153"/>
      <c r="I41" s="153"/>
      <c r="J41" s="153"/>
      <c r="K41" s="153"/>
      <c r="L41" s="153"/>
    </row>
    <row r="42" spans="1:12" ht="14.25" x14ac:dyDescent="0.2">
      <c r="A42" s="167"/>
      <c r="B42" s="167"/>
      <c r="C42" s="190"/>
      <c r="D42" s="167"/>
      <c r="F42" s="153"/>
      <c r="G42" s="153"/>
      <c r="H42" s="153"/>
      <c r="I42" s="153"/>
      <c r="J42" s="153"/>
      <c r="K42" s="153"/>
      <c r="L42" s="153"/>
    </row>
    <row r="43" spans="1:12" ht="15" x14ac:dyDescent="0.2">
      <c r="A43" s="167"/>
      <c r="B43" s="191"/>
      <c r="C43" s="192"/>
      <c r="D43" s="167"/>
      <c r="F43" s="153"/>
      <c r="G43" s="153"/>
      <c r="H43" s="153"/>
      <c r="I43" s="153"/>
      <c r="J43" s="153"/>
      <c r="K43" s="153"/>
      <c r="L43" s="153"/>
    </row>
    <row r="44" spans="1:12" ht="15" x14ac:dyDescent="0.2">
      <c r="A44" s="181"/>
      <c r="B44" s="191"/>
      <c r="C44" s="192"/>
      <c r="D44" s="181"/>
      <c r="E44" s="153"/>
      <c r="F44" s="153"/>
      <c r="G44" s="153"/>
      <c r="H44" s="153"/>
      <c r="I44" s="153"/>
      <c r="J44" s="153"/>
      <c r="K44" s="153"/>
      <c r="L44" s="153"/>
    </row>
    <row r="45" spans="1:12" ht="16.5" x14ac:dyDescent="0.2">
      <c r="A45" s="193"/>
      <c r="B45" s="153"/>
      <c r="C45" s="153"/>
      <c r="E45" s="153"/>
      <c r="F45" s="153"/>
      <c r="G45" s="153"/>
      <c r="H45" s="153"/>
      <c r="I45" s="153"/>
      <c r="J45" s="153"/>
      <c r="K45" s="153"/>
      <c r="L45" s="153"/>
    </row>
    <row r="46" spans="1:12" x14ac:dyDescent="0.2">
      <c r="A46" s="194"/>
      <c r="B46" s="195"/>
      <c r="C46" s="195"/>
      <c r="E46" s="153"/>
      <c r="F46" s="153"/>
      <c r="G46" s="153"/>
      <c r="H46" s="153"/>
      <c r="I46" s="153"/>
      <c r="J46" s="153"/>
      <c r="K46" s="153"/>
      <c r="L46" s="153"/>
    </row>
    <row r="47" spans="1:12" ht="14.25" x14ac:dyDescent="0.2">
      <c r="A47" s="167"/>
      <c r="B47" s="196"/>
      <c r="C47" s="195"/>
      <c r="E47" s="153"/>
      <c r="F47" s="153"/>
      <c r="G47" s="153"/>
      <c r="H47" s="153"/>
      <c r="I47" s="153"/>
      <c r="J47" s="153"/>
      <c r="K47" s="153"/>
      <c r="L47" s="153"/>
    </row>
    <row r="48" spans="1:12" ht="14.25" x14ac:dyDescent="0.2">
      <c r="A48" s="167"/>
      <c r="B48" s="196"/>
      <c r="C48" s="167"/>
      <c r="E48" s="153"/>
      <c r="F48" s="153"/>
      <c r="G48" s="153"/>
      <c r="H48" s="153"/>
      <c r="I48" s="153"/>
      <c r="J48" s="153"/>
      <c r="K48" s="153"/>
      <c r="L48" s="153"/>
    </row>
    <row r="49" spans="1:12" ht="14.25" x14ac:dyDescent="0.2">
      <c r="A49" s="167"/>
      <c r="B49" s="190"/>
      <c r="C49" s="195"/>
      <c r="E49" s="153"/>
      <c r="F49" s="153"/>
      <c r="G49" s="153"/>
      <c r="H49" s="153"/>
      <c r="I49" s="153"/>
      <c r="J49" s="153"/>
      <c r="K49" s="153"/>
      <c r="L49" s="153"/>
    </row>
    <row r="50" spans="1:12" ht="14.25" x14ac:dyDescent="0.2">
      <c r="A50" s="167"/>
      <c r="B50" s="196"/>
      <c r="C50" s="167"/>
      <c r="E50" s="153"/>
      <c r="F50" s="153"/>
      <c r="G50" s="153"/>
      <c r="H50" s="153"/>
      <c r="I50" s="153"/>
      <c r="J50" s="153"/>
      <c r="K50" s="153"/>
      <c r="L50" s="153"/>
    </row>
    <row r="51" spans="1:12" ht="14.25" x14ac:dyDescent="0.2">
      <c r="A51" s="167"/>
      <c r="B51" s="190"/>
      <c r="C51" s="195"/>
      <c r="E51" s="153"/>
      <c r="F51" s="153"/>
      <c r="G51" s="153"/>
      <c r="H51" s="153"/>
      <c r="I51" s="153"/>
      <c r="J51" s="153"/>
      <c r="K51" s="153"/>
      <c r="L51" s="153"/>
    </row>
    <row r="52" spans="1:12" ht="14.25" x14ac:dyDescent="0.2">
      <c r="A52" s="167"/>
      <c r="B52" s="196"/>
      <c r="C52" s="167"/>
      <c r="E52" s="153"/>
      <c r="F52" s="153"/>
      <c r="G52" s="153"/>
      <c r="H52" s="153"/>
      <c r="I52" s="153"/>
      <c r="J52" s="153"/>
      <c r="K52" s="153"/>
      <c r="L52" s="153"/>
    </row>
    <row r="53" spans="1:12" ht="14.25" x14ac:dyDescent="0.2">
      <c r="A53" s="167"/>
      <c r="B53" s="190"/>
      <c r="C53" s="195"/>
      <c r="E53" s="153"/>
      <c r="F53" s="153"/>
      <c r="G53" s="153"/>
      <c r="H53" s="153"/>
      <c r="I53" s="153"/>
      <c r="J53" s="153"/>
      <c r="K53" s="153"/>
      <c r="L53" s="153"/>
    </row>
    <row r="54" spans="1:12" ht="14.25" x14ac:dyDescent="0.2">
      <c r="A54" s="167"/>
      <c r="B54" s="196"/>
      <c r="C54" s="167"/>
      <c r="E54" s="153"/>
      <c r="F54" s="153"/>
      <c r="G54" s="153"/>
      <c r="H54" s="153"/>
      <c r="I54" s="153"/>
      <c r="J54" s="153"/>
      <c r="K54" s="153"/>
      <c r="L54" s="153"/>
    </row>
    <row r="55" spans="1:12" ht="14.25" x14ac:dyDescent="0.2">
      <c r="A55" s="167"/>
      <c r="B55" s="190"/>
      <c r="C55" s="195"/>
      <c r="E55" s="153"/>
      <c r="F55" s="153"/>
      <c r="G55" s="153"/>
      <c r="H55" s="153"/>
      <c r="I55" s="153"/>
      <c r="J55" s="153"/>
      <c r="K55" s="153"/>
      <c r="L55" s="153"/>
    </row>
    <row r="56" spans="1:12" ht="16.5" x14ac:dyDescent="0.2">
      <c r="A56" s="193"/>
      <c r="B56" s="153"/>
      <c r="C56" s="153"/>
      <c r="E56" s="153"/>
      <c r="F56" s="153"/>
      <c r="G56" s="153"/>
      <c r="H56" s="153"/>
      <c r="I56" s="153"/>
      <c r="J56" s="153"/>
      <c r="K56" s="153"/>
      <c r="L56" s="153"/>
    </row>
    <row r="57" spans="1:12" x14ac:dyDescent="0.2">
      <c r="A57" s="153"/>
      <c r="B57" s="153"/>
      <c r="C57" s="153"/>
      <c r="E57" s="153"/>
      <c r="F57" s="153"/>
      <c r="G57" s="153"/>
      <c r="H57" s="153"/>
      <c r="I57" s="153"/>
      <c r="J57" s="153"/>
      <c r="K57" s="153"/>
      <c r="L57" s="153"/>
    </row>
    <row r="58" spans="1:12" x14ac:dyDescent="0.2">
      <c r="A58" s="153"/>
      <c r="B58" s="153"/>
      <c r="C58" s="153"/>
      <c r="E58" s="153"/>
      <c r="F58" s="153"/>
      <c r="G58" s="153"/>
      <c r="H58" s="153"/>
      <c r="I58" s="153"/>
      <c r="J58" s="153"/>
      <c r="K58" s="153"/>
      <c r="L58" s="153"/>
    </row>
    <row r="59" spans="1:12" x14ac:dyDescent="0.2">
      <c r="A59" s="197"/>
      <c r="B59" s="153"/>
      <c r="C59" s="153"/>
      <c r="E59" s="153"/>
      <c r="F59" s="153"/>
      <c r="G59" s="153"/>
      <c r="H59" s="153"/>
      <c r="I59" s="153"/>
      <c r="J59" s="153"/>
      <c r="K59" s="153"/>
      <c r="L59" s="153"/>
    </row>
    <row r="60" spans="1:12" x14ac:dyDescent="0.2">
      <c r="A60" s="153"/>
      <c r="B60" s="153"/>
      <c r="C60" s="153"/>
      <c r="E60" s="153"/>
    </row>
    <row r="61" spans="1:12" x14ac:dyDescent="0.2">
      <c r="A61" s="153"/>
      <c r="B61" s="153"/>
      <c r="C61" s="153"/>
      <c r="E61" s="153"/>
    </row>
    <row r="62" spans="1:12" x14ac:dyDescent="0.2">
      <c r="A62" s="153"/>
      <c r="B62" s="153"/>
      <c r="C62" s="153"/>
      <c r="E62" s="153"/>
    </row>
    <row r="63" spans="1:12" x14ac:dyDescent="0.2">
      <c r="A63" s="153"/>
      <c r="B63" s="153"/>
      <c r="C63" s="153"/>
      <c r="E63" s="153"/>
    </row>
    <row r="64" spans="1:12" x14ac:dyDescent="0.2">
      <c r="A64" s="153"/>
      <c r="B64" s="153"/>
      <c r="C64" s="153"/>
      <c r="E64" s="153"/>
    </row>
    <row r="65" spans="1:5" x14ac:dyDescent="0.2">
      <c r="A65" s="153"/>
      <c r="B65" s="153"/>
      <c r="C65" s="153"/>
      <c r="E65" s="153"/>
    </row>
    <row r="66" spans="1:5" x14ac:dyDescent="0.2">
      <c r="A66" s="153"/>
      <c r="B66" s="153"/>
      <c r="C66" s="153"/>
      <c r="E66" s="153"/>
    </row>
    <row r="67" spans="1:5" x14ac:dyDescent="0.2">
      <c r="A67" s="153"/>
      <c r="B67" s="153"/>
      <c r="C67" s="153"/>
      <c r="E67" s="153"/>
    </row>
    <row r="68" spans="1:5" x14ac:dyDescent="0.2">
      <c r="A68" s="153"/>
      <c r="B68" s="153"/>
      <c r="C68" s="153"/>
      <c r="E68" s="153"/>
    </row>
  </sheetData>
  <mergeCells count="1">
    <mergeCell ref="A7:C7"/>
  </mergeCells>
  <pageMargins left="0.90551181102362199" right="0.51181102362204722" top="0.74803149606299213" bottom="0.74803149606299213" header="0.31496062992125984" footer="0.31496062992125984"/>
  <pageSetup paperSize="9" orientation="portrait" verticalDpi="597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opLeftCell="A10" zoomScaleNormal="100" workbookViewId="0">
      <selection activeCell="C10" sqref="C10"/>
    </sheetView>
  </sheetViews>
  <sheetFormatPr defaultRowHeight="12.75" x14ac:dyDescent="0.2"/>
  <cols>
    <col min="1" max="1" width="8.5703125" style="1" customWidth="1"/>
    <col min="2" max="2" width="67.140625" style="1" customWidth="1"/>
    <col min="3" max="3" width="13.7109375" style="1" customWidth="1"/>
    <col min="4" max="4" width="10.28515625" style="1" customWidth="1"/>
    <col min="5" max="5" width="13.7109375" style="1" customWidth="1"/>
    <col min="6" max="16384" width="9.140625" style="1"/>
  </cols>
  <sheetData>
    <row r="1" spans="1:3" x14ac:dyDescent="0.2">
      <c r="A1" s="107" t="s">
        <v>210</v>
      </c>
    </row>
    <row r="3" spans="1:3" x14ac:dyDescent="0.2">
      <c r="A3" s="297" t="s">
        <v>264</v>
      </c>
    </row>
    <row r="5" spans="1:3" x14ac:dyDescent="0.2">
      <c r="A5" s="297" t="s">
        <v>263</v>
      </c>
    </row>
    <row r="6" spans="1:3" ht="13.5" thickBot="1" x14ac:dyDescent="0.25"/>
    <row r="7" spans="1:3" ht="18" x14ac:dyDescent="0.25">
      <c r="B7" s="484" t="s">
        <v>196</v>
      </c>
      <c r="C7" s="485"/>
    </row>
    <row r="8" spans="1:3" ht="15" x14ac:dyDescent="0.25">
      <c r="A8" s="153"/>
      <c r="B8" s="152" t="s">
        <v>179</v>
      </c>
      <c r="C8" s="198"/>
    </row>
    <row r="9" spans="1:3" ht="15" x14ac:dyDescent="0.25">
      <c r="A9" s="153"/>
      <c r="B9" s="154" t="s">
        <v>100</v>
      </c>
      <c r="C9" s="155">
        <v>2100</v>
      </c>
    </row>
    <row r="10" spans="1:3" ht="15" x14ac:dyDescent="0.25">
      <c r="A10" s="153"/>
      <c r="B10" s="156" t="s">
        <v>101</v>
      </c>
      <c r="C10" s="155">
        <v>2031</v>
      </c>
    </row>
    <row r="11" spans="1:3" ht="14.25" x14ac:dyDescent="0.2">
      <c r="A11" s="153"/>
      <c r="B11" s="199" t="s">
        <v>102</v>
      </c>
      <c r="C11" s="200">
        <v>44</v>
      </c>
    </row>
    <row r="12" spans="1:3" ht="14.25" x14ac:dyDescent="0.2">
      <c r="A12" s="153"/>
      <c r="B12" s="199" t="s">
        <v>103</v>
      </c>
      <c r="C12" s="200">
        <v>1192</v>
      </c>
    </row>
    <row r="13" spans="1:3" ht="14.25" x14ac:dyDescent="0.2">
      <c r="A13" s="153"/>
      <c r="B13" s="199" t="s">
        <v>104</v>
      </c>
      <c r="C13" s="200">
        <v>372</v>
      </c>
    </row>
    <row r="14" spans="1:3" ht="14.25" x14ac:dyDescent="0.2">
      <c r="A14" s="153"/>
      <c r="B14" s="199" t="s">
        <v>105</v>
      </c>
      <c r="C14" s="200">
        <v>22</v>
      </c>
    </row>
    <row r="15" spans="1:3" ht="14.25" x14ac:dyDescent="0.2">
      <c r="A15" s="153"/>
      <c r="B15" s="199" t="s">
        <v>106</v>
      </c>
      <c r="C15" s="200">
        <v>350</v>
      </c>
    </row>
    <row r="16" spans="1:3" ht="14.25" x14ac:dyDescent="0.2">
      <c r="A16" s="153"/>
      <c r="B16" s="199" t="s">
        <v>107</v>
      </c>
      <c r="C16" s="200">
        <v>1</v>
      </c>
    </row>
    <row r="17" spans="1:5" ht="14.25" x14ac:dyDescent="0.2">
      <c r="A17" s="153"/>
      <c r="B17" s="199" t="s">
        <v>108</v>
      </c>
      <c r="C17" s="200">
        <v>30</v>
      </c>
    </row>
    <row r="18" spans="1:5" ht="14.25" x14ac:dyDescent="0.2">
      <c r="A18" s="153"/>
      <c r="B18" s="201" t="s">
        <v>109</v>
      </c>
      <c r="C18" s="202">
        <v>0</v>
      </c>
    </row>
    <row r="19" spans="1:5" ht="14.25" x14ac:dyDescent="0.2">
      <c r="A19" s="153"/>
      <c r="B19" s="303" t="s">
        <v>259</v>
      </c>
      <c r="C19" s="202">
        <v>0</v>
      </c>
    </row>
    <row r="20" spans="1:5" ht="15" x14ac:dyDescent="0.25">
      <c r="A20" s="153" t="s">
        <v>110</v>
      </c>
      <c r="B20" s="152" t="s">
        <v>111</v>
      </c>
      <c r="C20" s="198"/>
    </row>
    <row r="21" spans="1:5" ht="14.25" x14ac:dyDescent="0.2">
      <c r="A21" s="153"/>
      <c r="B21" s="203" t="s">
        <v>261</v>
      </c>
      <c r="C21" s="204">
        <v>4625</v>
      </c>
    </row>
    <row r="22" spans="1:5" ht="14.25" x14ac:dyDescent="0.2">
      <c r="A22" s="153"/>
      <c r="B22" s="199" t="s">
        <v>262</v>
      </c>
      <c r="C22" s="200">
        <v>4694</v>
      </c>
    </row>
    <row r="23" spans="1:5" ht="14.25" x14ac:dyDescent="0.2">
      <c r="B23" s="199" t="s">
        <v>260</v>
      </c>
      <c r="C23" s="296">
        <f>C9-C10</f>
        <v>69</v>
      </c>
    </row>
    <row r="24" spans="1:5" ht="14.25" x14ac:dyDescent="0.2">
      <c r="B24" s="205"/>
      <c r="C24" s="206"/>
    </row>
    <row r="25" spans="1:5" s="107" customFormat="1" ht="15" x14ac:dyDescent="0.25">
      <c r="B25" s="154" t="s">
        <v>113</v>
      </c>
      <c r="C25" s="207">
        <f>MEDIAN(C21,C22)</f>
        <v>4659.5</v>
      </c>
    </row>
    <row r="26" spans="1:5" ht="15" x14ac:dyDescent="0.25">
      <c r="B26" s="156" t="s">
        <v>257</v>
      </c>
      <c r="C26" s="301">
        <f>C12/C25</f>
        <v>0.25582144006867691</v>
      </c>
    </row>
    <row r="27" spans="1:5" ht="15" x14ac:dyDescent="0.25">
      <c r="B27" s="156" t="s">
        <v>258</v>
      </c>
      <c r="C27" s="301">
        <f>MEDIAN(C9,C10)/C25</f>
        <v>0.44328790642772831</v>
      </c>
      <c r="E27" s="268"/>
    </row>
    <row r="28" spans="1:5" s="107" customFormat="1" ht="15" x14ac:dyDescent="0.25">
      <c r="B28" s="156" t="s">
        <v>216</v>
      </c>
      <c r="C28" s="299">
        <f>12/C27</f>
        <v>27.070442992011618</v>
      </c>
    </row>
    <row r="29" spans="1:5" ht="15" x14ac:dyDescent="0.25">
      <c r="B29" s="156" t="s">
        <v>112</v>
      </c>
      <c r="C29" s="158">
        <v>360</v>
      </c>
    </row>
    <row r="30" spans="1:5" ht="15" x14ac:dyDescent="0.25">
      <c r="B30" s="156" t="s">
        <v>211</v>
      </c>
      <c r="C30" s="158">
        <v>10</v>
      </c>
    </row>
    <row r="31" spans="1:5" ht="15" x14ac:dyDescent="0.25">
      <c r="B31" s="154" t="s">
        <v>212</v>
      </c>
      <c r="C31" s="157">
        <v>30</v>
      </c>
    </row>
    <row r="32" spans="1:5" ht="15" x14ac:dyDescent="0.25">
      <c r="B32" s="154" t="s">
        <v>213</v>
      </c>
      <c r="C32" s="157">
        <v>30</v>
      </c>
    </row>
    <row r="33" spans="2:4" s="107" customFormat="1" ht="15" x14ac:dyDescent="0.25">
      <c r="B33" s="154" t="s">
        <v>115</v>
      </c>
      <c r="C33" s="157">
        <f>30+(3*TRUNC(1/C27))</f>
        <v>36</v>
      </c>
    </row>
    <row r="34" spans="2:4" s="107" customFormat="1" ht="15" x14ac:dyDescent="0.25">
      <c r="B34" s="156" t="s">
        <v>38</v>
      </c>
      <c r="C34" s="300">
        <v>0.08</v>
      </c>
    </row>
    <row r="35" spans="2:4" s="107" customFormat="1" ht="15.75" thickBot="1" x14ac:dyDescent="0.3">
      <c r="B35" s="159" t="s">
        <v>114</v>
      </c>
      <c r="C35" s="302">
        <v>0.4</v>
      </c>
      <c r="D35" s="107" t="s">
        <v>265</v>
      </c>
    </row>
  </sheetData>
  <mergeCells count="1">
    <mergeCell ref="B7:C7"/>
  </mergeCells>
  <pageMargins left="0.90551181102362199" right="0.51181102362204722" top="0.74803149606299213" bottom="0.74803149606299213" header="0.31496062992125984" footer="0.31496062992125984"/>
  <pageSetup paperSize="9" scale="98" orientation="portrait" verticalDpi="597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4"/>
  <sheetViews>
    <sheetView topLeftCell="A4" zoomScaleNormal="100" workbookViewId="0">
      <selection activeCell="C16" sqref="C16"/>
    </sheetView>
  </sheetViews>
  <sheetFormatPr defaultRowHeight="12.75" x14ac:dyDescent="0.2"/>
  <cols>
    <col min="1" max="1" width="41.85546875" bestFit="1" customWidth="1"/>
    <col min="2" max="2" width="5.5703125" bestFit="1" customWidth="1"/>
    <col min="4" max="4" width="9.7109375" bestFit="1" customWidth="1"/>
    <col min="5" max="5" width="8" style="119" bestFit="1" customWidth="1"/>
    <col min="6" max="6" width="9.7109375" bestFit="1" customWidth="1"/>
  </cols>
  <sheetData>
    <row r="1" spans="1:8" s="142" customFormat="1" ht="14.25" x14ac:dyDescent="0.2">
      <c r="A1" s="11" t="s">
        <v>177</v>
      </c>
      <c r="B1" s="140"/>
      <c r="C1" s="140"/>
      <c r="E1" s="143"/>
    </row>
    <row r="2" spans="1:8" s="142" customFormat="1" ht="14.25" x14ac:dyDescent="0.2">
      <c r="A2" s="136" t="s">
        <v>217</v>
      </c>
      <c r="B2" s="140"/>
      <c r="C2" s="140"/>
      <c r="E2" s="143"/>
    </row>
    <row r="3" spans="1:8" s="142" customFormat="1" ht="14.25" x14ac:dyDescent="0.2">
      <c r="A3" s="9" t="s">
        <v>178</v>
      </c>
      <c r="B3" s="140"/>
      <c r="C3" s="140"/>
      <c r="E3" s="143"/>
    </row>
    <row r="4" spans="1:8" s="142" customFormat="1" ht="14.25" x14ac:dyDescent="0.2">
      <c r="A4" s="9"/>
      <c r="B4" s="140"/>
      <c r="C4" s="140"/>
      <c r="E4" s="143"/>
    </row>
    <row r="5" spans="1:8" s="4" customFormat="1" ht="15.6" customHeight="1" x14ac:dyDescent="0.2">
      <c r="A5" s="295" t="s">
        <v>256</v>
      </c>
      <c r="B5" s="135"/>
      <c r="C5" s="135"/>
      <c r="D5" s="135"/>
      <c r="E5" s="135"/>
      <c r="F5" s="135"/>
      <c r="G5" s="6"/>
    </row>
    <row r="6" spans="1:8" s="4" customFormat="1" ht="16.5" customHeight="1" x14ac:dyDescent="0.2">
      <c r="A6" s="295" t="s">
        <v>253</v>
      </c>
      <c r="B6" s="5"/>
      <c r="C6" s="5"/>
      <c r="D6" s="6"/>
      <c r="E6" s="6"/>
      <c r="F6" s="6"/>
      <c r="G6" s="6"/>
    </row>
    <row r="7" spans="1:8" s="142" customFormat="1" ht="15" thickBot="1" x14ac:dyDescent="0.25">
      <c r="B7" s="140"/>
      <c r="C7" s="140"/>
      <c r="E7" s="143"/>
    </row>
    <row r="8" spans="1:8" ht="15.75" x14ac:dyDescent="0.2">
      <c r="A8" s="491" t="s">
        <v>197</v>
      </c>
      <c r="B8" s="492"/>
      <c r="C8" s="492"/>
      <c r="D8" s="492"/>
      <c r="E8" s="492"/>
      <c r="F8" s="493"/>
    </row>
    <row r="9" spans="1:8" ht="16.5" thickBot="1" x14ac:dyDescent="0.25">
      <c r="A9" s="253"/>
      <c r="B9" s="254"/>
      <c r="C9" s="254"/>
      <c r="D9" s="254"/>
      <c r="E9" s="254"/>
      <c r="F9" s="255"/>
    </row>
    <row r="10" spans="1:8" ht="15" x14ac:dyDescent="0.25">
      <c r="A10" s="208"/>
      <c r="B10" s="141"/>
      <c r="C10" s="141"/>
      <c r="D10" s="488" t="s">
        <v>214</v>
      </c>
      <c r="E10" s="489"/>
      <c r="F10" s="490"/>
      <c r="G10" s="142"/>
      <c r="H10" s="142"/>
    </row>
    <row r="11" spans="1:8" ht="15" thickBot="1" x14ac:dyDescent="0.25">
      <c r="A11" s="205"/>
      <c r="B11" s="209"/>
      <c r="C11" s="209"/>
      <c r="D11" s="210" t="s">
        <v>165</v>
      </c>
      <c r="E11" s="211" t="s">
        <v>166</v>
      </c>
      <c r="F11" s="212" t="s">
        <v>167</v>
      </c>
      <c r="G11" s="142"/>
      <c r="H11" s="142"/>
    </row>
    <row r="12" spans="1:8" ht="14.25" x14ac:dyDescent="0.2">
      <c r="A12" s="213" t="s">
        <v>70</v>
      </c>
      <c r="B12" s="214" t="s">
        <v>71</v>
      </c>
      <c r="C12" s="215">
        <v>5.5E-2</v>
      </c>
      <c r="D12" s="236">
        <v>2.9700000000000001E-2</v>
      </c>
      <c r="E12" s="237">
        <v>5.0799999999999998E-2</v>
      </c>
      <c r="F12" s="238">
        <v>6.2700000000000006E-2</v>
      </c>
      <c r="G12" s="142"/>
      <c r="H12" s="142"/>
    </row>
    <row r="13" spans="1:8" ht="14.25" x14ac:dyDescent="0.2">
      <c r="A13" s="217" t="s">
        <v>72</v>
      </c>
      <c r="B13" s="218" t="s">
        <v>73</v>
      </c>
      <c r="C13" s="219">
        <v>2.5000000000000001E-3</v>
      </c>
      <c r="D13" s="236">
        <f>0.3%+0.56%</f>
        <v>8.6E-3</v>
      </c>
      <c r="E13" s="237">
        <f>0.48%+0.85%</f>
        <v>1.3299999999999999E-2</v>
      </c>
      <c r="F13" s="238">
        <f>0.82%+0.89%</f>
        <v>1.7099999999999997E-2</v>
      </c>
      <c r="G13" s="142"/>
      <c r="H13" s="142"/>
    </row>
    <row r="14" spans="1:8" ht="14.25" x14ac:dyDescent="0.2">
      <c r="A14" s="217" t="s">
        <v>74</v>
      </c>
      <c r="B14" s="218" t="s">
        <v>75</v>
      </c>
      <c r="C14" s="219">
        <v>7.0000000000000007E-2</v>
      </c>
      <c r="D14" s="236">
        <v>7.7799999999999994E-2</v>
      </c>
      <c r="E14" s="237">
        <v>0.1085</v>
      </c>
      <c r="F14" s="238">
        <v>0.13550000000000001</v>
      </c>
      <c r="G14" s="142"/>
      <c r="H14" s="142"/>
    </row>
    <row r="15" spans="1:8" ht="14.25" x14ac:dyDescent="0.2">
      <c r="A15" s="217" t="s">
        <v>76</v>
      </c>
      <c r="B15" s="218" t="s">
        <v>77</v>
      </c>
      <c r="C15" s="220">
        <v>0.05</v>
      </c>
      <c r="D15" s="236" t="s">
        <v>248</v>
      </c>
      <c r="E15" s="221">
        <v>0.13250000000000001</v>
      </c>
      <c r="F15" s="216"/>
      <c r="G15" s="142"/>
      <c r="H15" s="142"/>
    </row>
    <row r="16" spans="1:8" ht="14.25" x14ac:dyDescent="0.2">
      <c r="A16" s="217" t="s">
        <v>78</v>
      </c>
      <c r="B16" s="486" t="s">
        <v>79</v>
      </c>
      <c r="C16" s="219">
        <v>0.03</v>
      </c>
      <c r="D16" s="292" t="s">
        <v>168</v>
      </c>
      <c r="E16" s="222">
        <v>20</v>
      </c>
      <c r="F16" s="223"/>
      <c r="G16" s="142"/>
      <c r="H16" s="142"/>
    </row>
    <row r="17" spans="1:8" ht="15" thickBot="1" x14ac:dyDescent="0.25">
      <c r="A17" s="224" t="s">
        <v>80</v>
      </c>
      <c r="B17" s="487"/>
      <c r="C17" s="225">
        <v>3.6499999999999998E-2</v>
      </c>
      <c r="D17" s="199"/>
      <c r="E17" s="226"/>
      <c r="F17" s="223"/>
      <c r="G17" s="142"/>
      <c r="H17" s="142"/>
    </row>
    <row r="18" spans="1:8" ht="14.25" x14ac:dyDescent="0.2">
      <c r="A18" s="227" t="s">
        <v>81</v>
      </c>
      <c r="B18" s="228"/>
      <c r="C18" s="229"/>
      <c r="D18" s="199"/>
      <c r="E18" s="226"/>
      <c r="F18" s="223"/>
      <c r="G18" s="142"/>
      <c r="H18" s="142"/>
    </row>
    <row r="19" spans="1:8" ht="15" thickBot="1" x14ac:dyDescent="0.25">
      <c r="A19" s="230" t="s">
        <v>82</v>
      </c>
      <c r="B19" s="231"/>
      <c r="C19" s="232"/>
      <c r="D19" s="199"/>
      <c r="E19" s="226"/>
      <c r="F19" s="223"/>
      <c r="G19" s="142"/>
      <c r="H19" s="142"/>
    </row>
    <row r="20" spans="1:8" ht="15.75" thickBot="1" x14ac:dyDescent="0.25">
      <c r="A20" s="233" t="s">
        <v>83</v>
      </c>
      <c r="B20" s="234"/>
      <c r="C20" s="235">
        <f>ROUND((((1+C12+C13)*(1+C14)*(1+C15))/(1-(C16+C17))-1),4)</f>
        <v>0.2727</v>
      </c>
      <c r="D20" s="239">
        <v>0.21429999999999999</v>
      </c>
      <c r="E20" s="240">
        <v>0.2717</v>
      </c>
      <c r="F20" s="241">
        <v>0.3362</v>
      </c>
      <c r="G20" s="142"/>
      <c r="H20" s="142"/>
    </row>
    <row r="21" spans="1:8" ht="14.25" x14ac:dyDescent="0.2">
      <c r="A21" s="142"/>
      <c r="B21" s="142"/>
      <c r="C21" s="142"/>
      <c r="D21" s="142"/>
      <c r="E21" s="143"/>
      <c r="F21" s="142"/>
      <c r="G21" s="142"/>
      <c r="H21" s="142"/>
    </row>
    <row r="22" spans="1:8" ht="14.25" x14ac:dyDescent="0.2">
      <c r="A22" s="142"/>
      <c r="B22" s="142"/>
      <c r="C22" s="142"/>
      <c r="D22" s="142"/>
      <c r="E22" s="143"/>
      <c r="F22" s="142"/>
      <c r="G22" s="142"/>
      <c r="H22" s="142"/>
    </row>
    <row r="23" spans="1:8" ht="14.25" x14ac:dyDescent="0.2">
      <c r="A23" s="142"/>
      <c r="B23" s="142"/>
      <c r="C23" s="142"/>
      <c r="D23" s="142"/>
      <c r="E23" s="143"/>
      <c r="F23" s="142"/>
      <c r="G23" s="142"/>
      <c r="H23" s="142"/>
    </row>
    <row r="24" spans="1:8" ht="14.25" x14ac:dyDescent="0.2">
      <c r="A24" s="142"/>
      <c r="B24" s="142"/>
      <c r="C24" s="142"/>
      <c r="D24" s="142"/>
      <c r="E24" s="143"/>
      <c r="F24" s="142"/>
      <c r="G24" s="142"/>
      <c r="H24" s="142"/>
    </row>
  </sheetData>
  <mergeCells count="3">
    <mergeCell ref="B16:B17"/>
    <mergeCell ref="D10:F10"/>
    <mergeCell ref="A8:F8"/>
  </mergeCells>
  <pageMargins left="0.90551181102362199" right="0.51181102362204722" top="0.74803149606299213" bottom="0.74803149606299213" header="0.31496062992125984" footer="0.31496062992125984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sqref="A1:B1"/>
    </sheetView>
  </sheetViews>
  <sheetFormatPr defaultRowHeight="19.5" customHeight="1" x14ac:dyDescent="0.2"/>
  <cols>
    <col min="1" max="1" width="24.5703125" style="1" customWidth="1"/>
    <col min="2" max="2" width="20.85546875" style="1" customWidth="1"/>
    <col min="3" max="16384" width="9.140625" style="1"/>
  </cols>
  <sheetData>
    <row r="1" spans="1:2" ht="19.5" customHeight="1" thickBot="1" x14ac:dyDescent="0.25">
      <c r="A1" s="494" t="s">
        <v>199</v>
      </c>
      <c r="B1" s="495"/>
    </row>
    <row r="2" spans="1:2" s="107" customFormat="1" ht="19.5" customHeight="1" x14ac:dyDescent="0.2">
      <c r="A2" s="256" t="s">
        <v>180</v>
      </c>
      <c r="B2" s="257" t="s">
        <v>250</v>
      </c>
    </row>
    <row r="3" spans="1:2" ht="19.5" customHeight="1" x14ac:dyDescent="0.2">
      <c r="A3" s="161">
        <v>1</v>
      </c>
      <c r="B3" s="160">
        <v>33.629999999999995</v>
      </c>
    </row>
    <row r="4" spans="1:2" ht="19.5" customHeight="1" x14ac:dyDescent="0.2">
      <c r="A4" s="161">
        <v>2</v>
      </c>
      <c r="B4" s="160">
        <v>43.13</v>
      </c>
    </row>
    <row r="5" spans="1:2" ht="19.5" customHeight="1" x14ac:dyDescent="0.2">
      <c r="A5" s="161">
        <v>3</v>
      </c>
      <c r="B5" s="160">
        <v>48.68</v>
      </c>
    </row>
    <row r="6" spans="1:2" ht="19.5" customHeight="1" x14ac:dyDescent="0.2">
      <c r="A6" s="161">
        <v>4</v>
      </c>
      <c r="B6" s="160">
        <v>52.62</v>
      </c>
    </row>
    <row r="7" spans="1:2" ht="19.5" customHeight="1" x14ac:dyDescent="0.2">
      <c r="A7" s="161">
        <v>5</v>
      </c>
      <c r="B7" s="160">
        <v>55.679999999999993</v>
      </c>
    </row>
    <row r="8" spans="1:2" ht="19.5" customHeight="1" x14ac:dyDescent="0.2">
      <c r="A8" s="161">
        <v>6</v>
      </c>
      <c r="B8" s="160">
        <v>58.18</v>
      </c>
    </row>
    <row r="9" spans="1:2" ht="19.5" customHeight="1" x14ac:dyDescent="0.2">
      <c r="A9" s="161">
        <v>7</v>
      </c>
      <c r="B9" s="160">
        <v>60.29</v>
      </c>
    </row>
    <row r="10" spans="1:2" ht="19.5" customHeight="1" x14ac:dyDescent="0.2">
      <c r="A10" s="161">
        <v>8</v>
      </c>
      <c r="B10" s="160">
        <v>62.12</v>
      </c>
    </row>
    <row r="11" spans="1:2" ht="19.5" customHeight="1" x14ac:dyDescent="0.2">
      <c r="A11" s="161">
        <v>9</v>
      </c>
      <c r="B11" s="160">
        <v>63.73</v>
      </c>
    </row>
    <row r="12" spans="1:2" ht="19.5" customHeight="1" x14ac:dyDescent="0.2">
      <c r="A12" s="161">
        <v>10</v>
      </c>
      <c r="B12" s="160">
        <v>65.180000000000007</v>
      </c>
    </row>
    <row r="13" spans="1:2" ht="19.5" customHeight="1" x14ac:dyDescent="0.2">
      <c r="A13" s="161">
        <v>11</v>
      </c>
      <c r="B13" s="160">
        <v>66.47999999999999</v>
      </c>
    </row>
    <row r="14" spans="1:2" ht="19.5" customHeight="1" x14ac:dyDescent="0.2">
      <c r="A14" s="161">
        <v>12</v>
      </c>
      <c r="B14" s="160">
        <v>67.67</v>
      </c>
    </row>
    <row r="15" spans="1:2" ht="19.5" customHeight="1" x14ac:dyDescent="0.2">
      <c r="A15" s="161">
        <v>13</v>
      </c>
      <c r="B15" s="160">
        <v>68.77</v>
      </c>
    </row>
    <row r="16" spans="1:2" ht="19.5" customHeight="1" x14ac:dyDescent="0.2">
      <c r="A16" s="161">
        <v>14</v>
      </c>
      <c r="B16" s="160">
        <v>69.789999999999992</v>
      </c>
    </row>
    <row r="17" spans="1:2" ht="19.5" customHeight="1" thickBot="1" x14ac:dyDescent="0.25">
      <c r="A17" s="162">
        <v>15</v>
      </c>
      <c r="B17" s="163">
        <v>70.73</v>
      </c>
    </row>
  </sheetData>
  <mergeCells count="1">
    <mergeCell ref="A1:B1"/>
  </mergeCells>
  <pageMargins left="0.90551181102362199" right="0.51181102362204722" top="0.74803149606299213" bottom="0.74803149606299213" header="0.31496062992125984" footer="0.31496062992125984"/>
  <pageSetup paperSize="9" orientation="portrait" verticalDpi="597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workbookViewId="0"/>
  </sheetViews>
  <sheetFormatPr defaultRowHeight="12.75" x14ac:dyDescent="0.2"/>
  <cols>
    <col min="1" max="1" width="70.42578125" style="1" customWidth="1"/>
    <col min="2" max="3" width="9.140625" style="1"/>
    <col min="4" max="4" width="12.85546875" style="1" bestFit="1" customWidth="1"/>
    <col min="5" max="16384" width="9.140625" style="1"/>
  </cols>
  <sheetData>
    <row r="1" spans="1:1" ht="18" x14ac:dyDescent="0.25">
      <c r="A1" s="245" t="s">
        <v>203</v>
      </c>
    </row>
    <row r="2" spans="1:1" x14ac:dyDescent="0.2">
      <c r="A2" s="242"/>
    </row>
    <row r="3" spans="1:1" x14ac:dyDescent="0.2">
      <c r="A3" s="242" t="s">
        <v>218</v>
      </c>
    </row>
    <row r="4" spans="1:1" x14ac:dyDescent="0.2">
      <c r="A4" s="242"/>
    </row>
    <row r="5" spans="1:1" x14ac:dyDescent="0.2">
      <c r="A5" s="242"/>
    </row>
    <row r="6" spans="1:1" x14ac:dyDescent="0.2">
      <c r="A6" s="242"/>
    </row>
    <row r="7" spans="1:1" x14ac:dyDescent="0.2">
      <c r="A7" s="242"/>
    </row>
    <row r="8" spans="1:1" x14ac:dyDescent="0.2">
      <c r="A8" s="242"/>
    </row>
    <row r="9" spans="1:1" x14ac:dyDescent="0.2">
      <c r="A9" s="242"/>
    </row>
    <row r="10" spans="1:1" x14ac:dyDescent="0.2">
      <c r="A10" s="242"/>
    </row>
    <row r="11" spans="1:1" x14ac:dyDescent="0.2">
      <c r="A11" s="242"/>
    </row>
    <row r="12" spans="1:1" ht="19.5" x14ac:dyDescent="0.35">
      <c r="A12" s="243" t="s">
        <v>200</v>
      </c>
    </row>
    <row r="13" spans="1:1" ht="15" x14ac:dyDescent="0.2">
      <c r="A13" s="243" t="s">
        <v>93</v>
      </c>
    </row>
    <row r="14" spans="1:1" ht="15" x14ac:dyDescent="0.2">
      <c r="A14" s="243" t="s">
        <v>96</v>
      </c>
    </row>
    <row r="15" spans="1:1" ht="19.5" x14ac:dyDescent="0.35">
      <c r="A15" s="243" t="s">
        <v>201</v>
      </c>
    </row>
    <row r="16" spans="1:1" ht="19.5" x14ac:dyDescent="0.35">
      <c r="A16" s="243" t="s">
        <v>202</v>
      </c>
    </row>
    <row r="17" spans="1:1" ht="15.75" thickBot="1" x14ac:dyDescent="0.25">
      <c r="A17" s="244" t="s">
        <v>94</v>
      </c>
    </row>
  </sheetData>
  <pageMargins left="0.90551181102362199" right="0.51181102362204722" top="0.74803149606299213" bottom="0.74803149606299213" header="0.31496062992125984" footer="0.31496062992125984"/>
  <pageSetup paperSize="9" orientation="portrait" verticalDpi="597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4"/>
  <sheetViews>
    <sheetView topLeftCell="A7" zoomScaleNormal="100" workbookViewId="0">
      <selection activeCell="G17" sqref="G17"/>
    </sheetView>
  </sheetViews>
  <sheetFormatPr defaultRowHeight="12.75" x14ac:dyDescent="0.2"/>
  <cols>
    <col min="1" max="1" width="58.28515625" style="268" customWidth="1"/>
    <col min="2" max="2" width="11.140625" style="268" bestFit="1" customWidth="1"/>
    <col min="3" max="3" width="11.28515625" style="268" bestFit="1" customWidth="1"/>
    <col min="4" max="16384" width="9.140625" style="268"/>
  </cols>
  <sheetData>
    <row r="1" spans="1:7" x14ac:dyDescent="0.2">
      <c r="A1" s="11" t="s">
        <v>177</v>
      </c>
    </row>
    <row r="2" spans="1:7" x14ac:dyDescent="0.2">
      <c r="A2" s="273" t="s">
        <v>225</v>
      </c>
    </row>
    <row r="3" spans="1:7" x14ac:dyDescent="0.2">
      <c r="A3" s="273" t="s">
        <v>251</v>
      </c>
    </row>
    <row r="4" spans="1:7" x14ac:dyDescent="0.2">
      <c r="A4" s="7" t="s">
        <v>249</v>
      </c>
    </row>
    <row r="5" spans="1:7" x14ac:dyDescent="0.2">
      <c r="A5" s="7"/>
    </row>
    <row r="6" spans="1:7" s="4" customFormat="1" ht="15.6" customHeight="1" x14ac:dyDescent="0.2">
      <c r="A6" s="295" t="s">
        <v>256</v>
      </c>
      <c r="B6" s="135"/>
      <c r="C6" s="135"/>
      <c r="D6" s="135"/>
      <c r="E6" s="135"/>
      <c r="F6" s="135"/>
      <c r="G6" s="6"/>
    </row>
    <row r="7" spans="1:7" s="4" customFormat="1" ht="16.5" customHeight="1" x14ac:dyDescent="0.2">
      <c r="A7" s="295" t="s">
        <v>253</v>
      </c>
      <c r="B7" s="5"/>
      <c r="C7" s="5"/>
      <c r="D7" s="6"/>
      <c r="E7" s="6"/>
      <c r="F7" s="6"/>
      <c r="G7" s="6"/>
    </row>
    <row r="8" spans="1:7" ht="13.5" thickBot="1" x14ac:dyDescent="0.25"/>
    <row r="9" spans="1:7" ht="18" x14ac:dyDescent="0.25">
      <c r="A9" s="496" t="s">
        <v>245</v>
      </c>
      <c r="B9" s="497"/>
      <c r="C9" s="498"/>
    </row>
    <row r="10" spans="1:7" s="274" customFormat="1" ht="18" x14ac:dyDescent="0.25">
      <c r="A10" s="289"/>
      <c r="B10" s="288"/>
      <c r="C10" s="290"/>
    </row>
    <row r="11" spans="1:7" s="107" customFormat="1" ht="15" x14ac:dyDescent="0.25">
      <c r="A11" s="275" t="s">
        <v>246</v>
      </c>
      <c r="B11" s="276" t="s">
        <v>226</v>
      </c>
      <c r="C11" s="277" t="s">
        <v>118</v>
      </c>
    </row>
    <row r="12" spans="1:7" ht="14.25" x14ac:dyDescent="0.2">
      <c r="A12" s="278" t="s">
        <v>234</v>
      </c>
      <c r="B12" s="279" t="s">
        <v>227</v>
      </c>
      <c r="C12" s="200">
        <v>3143</v>
      </c>
    </row>
    <row r="13" spans="1:7" ht="14.25" x14ac:dyDescent="0.2">
      <c r="A13" s="199" t="s">
        <v>235</v>
      </c>
      <c r="B13" s="280" t="s">
        <v>232</v>
      </c>
      <c r="C13" s="281">
        <v>0.35</v>
      </c>
    </row>
    <row r="14" spans="1:7" ht="14.25" x14ac:dyDescent="0.2">
      <c r="A14" s="199" t="s">
        <v>236</v>
      </c>
      <c r="B14" s="280" t="s">
        <v>233</v>
      </c>
      <c r="C14" s="282">
        <f>C12*C13/1000</f>
        <v>1.10005</v>
      </c>
    </row>
    <row r="15" spans="1:7" ht="14.25" x14ac:dyDescent="0.2">
      <c r="A15" s="199" t="s">
        <v>242</v>
      </c>
      <c r="B15" s="280" t="s">
        <v>228</v>
      </c>
      <c r="C15" s="283">
        <f>(C14*30)</f>
        <v>33.0015</v>
      </c>
    </row>
    <row r="16" spans="1:7" ht="14.25" x14ac:dyDescent="0.2">
      <c r="A16" s="199" t="s">
        <v>238</v>
      </c>
      <c r="B16" s="280" t="s">
        <v>86</v>
      </c>
      <c r="C16" s="286">
        <v>3</v>
      </c>
    </row>
    <row r="17" spans="1:3" ht="14.25" x14ac:dyDescent="0.2">
      <c r="A17" s="199" t="s">
        <v>237</v>
      </c>
      <c r="B17" s="280" t="s">
        <v>233</v>
      </c>
      <c r="C17" s="282">
        <f>IFERROR(C14*7/C16,0)</f>
        <v>2.5667833333333334</v>
      </c>
    </row>
    <row r="18" spans="1:3" ht="14.25" x14ac:dyDescent="0.2">
      <c r="A18" s="278" t="s">
        <v>229</v>
      </c>
      <c r="B18" s="280" t="s">
        <v>230</v>
      </c>
      <c r="C18" s="223">
        <v>500</v>
      </c>
    </row>
    <row r="19" spans="1:3" ht="14.25" x14ac:dyDescent="0.2">
      <c r="A19" s="199" t="s">
        <v>243</v>
      </c>
      <c r="B19" s="280"/>
      <c r="C19" s="200">
        <v>1</v>
      </c>
    </row>
    <row r="20" spans="1:3" ht="14.25" x14ac:dyDescent="0.2">
      <c r="A20" s="278" t="s">
        <v>244</v>
      </c>
      <c r="B20" s="280" t="s">
        <v>231</v>
      </c>
      <c r="C20" s="200">
        <v>20</v>
      </c>
    </row>
    <row r="21" spans="1:3" ht="14.25" x14ac:dyDescent="0.2">
      <c r="A21" s="199" t="s">
        <v>239</v>
      </c>
      <c r="B21" s="280" t="s">
        <v>228</v>
      </c>
      <c r="C21" s="223">
        <f>IF(AND(C20&gt;=15,C19=1),5.8,C20/2)</f>
        <v>5.8</v>
      </c>
    </row>
    <row r="22" spans="1:3" ht="14.25" x14ac:dyDescent="0.2">
      <c r="A22" s="278" t="s">
        <v>240</v>
      </c>
      <c r="B22" s="280"/>
      <c r="C22" s="282">
        <f>IFERROR(C17/C21,0)</f>
        <v>0.44254885057471266</v>
      </c>
    </row>
    <row r="23" spans="1:3" ht="14.25" x14ac:dyDescent="0.2">
      <c r="A23" s="278" t="s">
        <v>247</v>
      </c>
      <c r="B23" s="280"/>
      <c r="C23" s="291">
        <v>1</v>
      </c>
    </row>
    <row r="24" spans="1:3" ht="15" thickBot="1" x14ac:dyDescent="0.25">
      <c r="A24" s="284" t="s">
        <v>241</v>
      </c>
      <c r="B24" s="285"/>
      <c r="C24" s="287">
        <f>IFERROR(C22/C23,0)</f>
        <v>0.44254885057471266</v>
      </c>
    </row>
  </sheetData>
  <mergeCells count="1">
    <mergeCell ref="A9:C9"/>
  </mergeCells>
  <conditionalFormatting sqref="C21">
    <cfRule type="expression" dxfId="0" priority="1">
      <formula>"SE(E(C20&gt;=15;C19=1))"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workbookViewId="0">
      <selection activeCell="D20" sqref="D20"/>
    </sheetView>
  </sheetViews>
  <sheetFormatPr defaultRowHeight="12.75" x14ac:dyDescent="0.2"/>
  <cols>
    <col min="1" max="1" width="47.5703125" customWidth="1"/>
    <col min="2" max="2" width="15" customWidth="1"/>
    <col min="3" max="3" width="13.42578125" customWidth="1"/>
    <col min="4" max="4" width="12.7109375" customWidth="1"/>
    <col min="5" max="5" width="13.85546875" customWidth="1"/>
    <col min="6" max="6" width="12.28515625" customWidth="1"/>
  </cols>
  <sheetData>
    <row r="1" spans="1:6" x14ac:dyDescent="0.2">
      <c r="A1" s="330" t="s">
        <v>177</v>
      </c>
      <c r="B1" s="331"/>
      <c r="C1" s="331"/>
      <c r="D1" s="332"/>
      <c r="E1" s="332"/>
      <c r="F1" s="332"/>
    </row>
    <row r="2" spans="1:6" x14ac:dyDescent="0.2">
      <c r="A2" s="333" t="s">
        <v>294</v>
      </c>
      <c r="B2" s="331"/>
      <c r="C2" s="331"/>
      <c r="D2" s="332"/>
      <c r="E2" s="332"/>
      <c r="F2" s="332"/>
    </row>
    <row r="3" spans="1:6" x14ac:dyDescent="0.2">
      <c r="A3" s="331" t="s">
        <v>178</v>
      </c>
      <c r="B3" s="331"/>
      <c r="C3" s="331"/>
      <c r="D3" s="332"/>
      <c r="E3" s="332"/>
      <c r="F3" s="332"/>
    </row>
    <row r="4" spans="1:6" x14ac:dyDescent="0.2">
      <c r="A4" s="333" t="s">
        <v>295</v>
      </c>
      <c r="B4" s="331"/>
      <c r="C4" s="331"/>
      <c r="D4" s="332"/>
      <c r="E4" s="332"/>
      <c r="F4" s="332"/>
    </row>
    <row r="5" spans="1:6" ht="18.75" thickBot="1" x14ac:dyDescent="0.25">
      <c r="A5" s="334" t="s">
        <v>296</v>
      </c>
      <c r="B5" s="335"/>
      <c r="C5" s="335"/>
      <c r="D5" s="336"/>
      <c r="E5" s="336"/>
      <c r="F5" s="336"/>
    </row>
    <row r="6" spans="1:6" ht="18" x14ac:dyDescent="0.2">
      <c r="A6" s="499" t="s">
        <v>297</v>
      </c>
      <c r="B6" s="500"/>
      <c r="C6" s="500"/>
      <c r="D6" s="500"/>
      <c r="E6" s="500"/>
      <c r="F6" s="501"/>
    </row>
    <row r="7" spans="1:6" ht="15" x14ac:dyDescent="0.2">
      <c r="A7" s="502" t="s">
        <v>39</v>
      </c>
      <c r="B7" s="503"/>
      <c r="C7" s="503"/>
      <c r="D7" s="503"/>
      <c r="E7" s="503"/>
      <c r="F7" s="504"/>
    </row>
    <row r="8" spans="1:6" ht="13.5" thickBot="1" x14ac:dyDescent="0.25">
      <c r="A8" s="337"/>
      <c r="B8" s="338"/>
      <c r="C8" s="338"/>
      <c r="D8" s="339"/>
      <c r="E8" s="339"/>
      <c r="F8" s="340"/>
    </row>
    <row r="9" spans="1:6" ht="16.5" thickBot="1" x14ac:dyDescent="0.25">
      <c r="A9" s="505" t="s">
        <v>176</v>
      </c>
      <c r="B9" s="506"/>
      <c r="C9" s="506"/>
      <c r="D9" s="506"/>
      <c r="E9" s="506"/>
      <c r="F9" s="507"/>
    </row>
    <row r="10" spans="1:6" x14ac:dyDescent="0.2">
      <c r="A10" s="341" t="s">
        <v>175</v>
      </c>
      <c r="B10" s="342"/>
      <c r="C10" s="342"/>
      <c r="D10" s="343"/>
      <c r="E10" s="344" t="s">
        <v>34</v>
      </c>
      <c r="F10" s="345" t="s">
        <v>1</v>
      </c>
    </row>
    <row r="11" spans="1:6" x14ac:dyDescent="0.2">
      <c r="A11" s="346" t="str">
        <f>A17</f>
        <v xml:space="preserve">1. Destinação final </v>
      </c>
      <c r="B11" s="347"/>
      <c r="C11" s="348"/>
      <c r="D11" s="348"/>
      <c r="E11" s="349">
        <f>+F23</f>
        <v>0</v>
      </c>
      <c r="F11" s="350">
        <f>IFERROR(E11/$E$13,0)</f>
        <v>0</v>
      </c>
    </row>
    <row r="12" spans="1:6" ht="13.5" thickBot="1" x14ac:dyDescent="0.25">
      <c r="A12" s="346" t="str">
        <f>A28</f>
        <v>2. Benefícios e Despesas Indiretas - BDI</v>
      </c>
      <c r="B12" s="347"/>
      <c r="C12" s="348"/>
      <c r="D12" s="348"/>
      <c r="E12" s="351">
        <f>+F34</f>
        <v>0</v>
      </c>
      <c r="F12" s="350">
        <f>IFERROR(E12/$E$13,0)</f>
        <v>0</v>
      </c>
    </row>
    <row r="13" spans="1:6" ht="13.5" thickBot="1" x14ac:dyDescent="0.25">
      <c r="A13" s="352" t="s">
        <v>298</v>
      </c>
      <c r="B13" s="353"/>
      <c r="C13" s="354"/>
      <c r="D13" s="354"/>
      <c r="E13" s="355">
        <f>E11+E12</f>
        <v>0</v>
      </c>
      <c r="F13" s="356">
        <f>F11+F12</f>
        <v>0</v>
      </c>
    </row>
    <row r="14" spans="1:6" x14ac:dyDescent="0.2">
      <c r="A14" s="331"/>
      <c r="B14" s="331"/>
      <c r="C14" s="331"/>
      <c r="D14" s="332"/>
      <c r="E14" s="332"/>
      <c r="F14" s="332"/>
    </row>
    <row r="15" spans="1:6" x14ac:dyDescent="0.2">
      <c r="A15" s="331"/>
      <c r="B15" s="331"/>
      <c r="C15" s="331"/>
      <c r="D15" s="332"/>
      <c r="E15" s="332"/>
      <c r="F15" s="332"/>
    </row>
    <row r="16" spans="1:6" x14ac:dyDescent="0.2">
      <c r="A16" s="331"/>
      <c r="B16" s="331"/>
      <c r="C16" s="331"/>
      <c r="D16" s="332"/>
      <c r="E16" s="332"/>
      <c r="F16" s="332"/>
    </row>
    <row r="17" spans="1:6" x14ac:dyDescent="0.2">
      <c r="A17" s="357" t="s">
        <v>299</v>
      </c>
      <c r="B17" s="357"/>
      <c r="C17" s="357"/>
      <c r="D17" s="358"/>
      <c r="E17" s="358"/>
      <c r="F17" s="359"/>
    </row>
    <row r="18" spans="1:6" ht="13.5" thickBot="1" x14ac:dyDescent="0.25">
      <c r="A18" s="331"/>
      <c r="B18" s="331"/>
      <c r="C18" s="331"/>
      <c r="D18" s="332"/>
      <c r="E18" s="332"/>
      <c r="F18" s="332"/>
    </row>
    <row r="19" spans="1:6" ht="13.5" thickBot="1" x14ac:dyDescent="0.25">
      <c r="A19" s="360" t="s">
        <v>58</v>
      </c>
      <c r="B19" s="361" t="s">
        <v>59</v>
      </c>
      <c r="C19" s="361" t="s">
        <v>36</v>
      </c>
      <c r="D19" s="362" t="s">
        <v>204</v>
      </c>
      <c r="E19" s="362" t="s">
        <v>60</v>
      </c>
      <c r="F19" s="363" t="s">
        <v>61</v>
      </c>
    </row>
    <row r="20" spans="1:6" ht="13.5" thickBot="1" x14ac:dyDescent="0.25">
      <c r="A20" s="364" t="s">
        <v>300</v>
      </c>
      <c r="B20" s="365" t="s">
        <v>301</v>
      </c>
      <c r="C20" s="366">
        <v>30</v>
      </c>
      <c r="D20" s="367"/>
      <c r="E20" s="368">
        <f>C20*D20</f>
        <v>0</v>
      </c>
      <c r="F20" s="369"/>
    </row>
    <row r="21" spans="1:6" ht="13.5" thickBot="1" x14ac:dyDescent="0.25">
      <c r="A21" s="357"/>
      <c r="B21" s="357"/>
      <c r="C21" s="357"/>
      <c r="D21" s="357"/>
      <c r="E21" s="358"/>
      <c r="F21" s="370">
        <f>SUM(E20:E20)</f>
        <v>0</v>
      </c>
    </row>
    <row r="22" spans="1:6" ht="13.5" thickBot="1" x14ac:dyDescent="0.25">
      <c r="A22" s="331"/>
      <c r="B22" s="331"/>
      <c r="C22" s="331"/>
      <c r="D22" s="332"/>
      <c r="E22" s="332"/>
      <c r="F22" s="332"/>
    </row>
    <row r="23" spans="1:6" ht="13.5" thickBot="1" x14ac:dyDescent="0.25">
      <c r="A23" s="371" t="s">
        <v>302</v>
      </c>
      <c r="B23" s="372"/>
      <c r="C23" s="372"/>
      <c r="D23" s="354"/>
      <c r="E23" s="373"/>
      <c r="F23" s="370">
        <f>+F21</f>
        <v>0</v>
      </c>
    </row>
    <row r="24" spans="1:6" x14ac:dyDescent="0.2">
      <c r="A24" s="331"/>
      <c r="B24" s="331"/>
      <c r="C24" s="331"/>
      <c r="D24" s="332"/>
      <c r="E24" s="332"/>
      <c r="F24" s="332"/>
    </row>
    <row r="25" spans="1:6" ht="13.5" thickBot="1" x14ac:dyDescent="0.25">
      <c r="A25" s="331"/>
      <c r="B25" s="331"/>
      <c r="C25" s="331"/>
      <c r="D25" s="332"/>
      <c r="E25" s="332"/>
      <c r="F25" s="332"/>
    </row>
    <row r="26" spans="1:6" ht="13.5" thickBot="1" x14ac:dyDescent="0.25">
      <c r="A26" s="371" t="s">
        <v>194</v>
      </c>
      <c r="B26" s="374"/>
      <c r="C26" s="374"/>
      <c r="D26" s="375"/>
      <c r="E26" s="376"/>
      <c r="F26" s="377">
        <f>F23</f>
        <v>0</v>
      </c>
    </row>
    <row r="27" spans="1:6" x14ac:dyDescent="0.2">
      <c r="A27" s="331"/>
      <c r="B27" s="331"/>
      <c r="C27" s="331"/>
      <c r="D27" s="332"/>
      <c r="E27" s="332"/>
      <c r="F27" s="332"/>
    </row>
    <row r="28" spans="1:6" x14ac:dyDescent="0.2">
      <c r="A28" s="330" t="s">
        <v>303</v>
      </c>
      <c r="B28" s="331"/>
      <c r="C28" s="331"/>
      <c r="D28" s="332"/>
      <c r="E28" s="332"/>
      <c r="F28" s="332"/>
    </row>
    <row r="29" spans="1:6" ht="13.5" thickBot="1" x14ac:dyDescent="0.25">
      <c r="A29" s="331"/>
      <c r="B29" s="331"/>
      <c r="C29" s="331"/>
      <c r="D29" s="332"/>
      <c r="E29" s="332"/>
      <c r="F29" s="332"/>
    </row>
    <row r="30" spans="1:6" ht="13.5" thickBot="1" x14ac:dyDescent="0.25">
      <c r="A30" s="360" t="s">
        <v>58</v>
      </c>
      <c r="B30" s="361" t="s">
        <v>59</v>
      </c>
      <c r="C30" s="361" t="s">
        <v>36</v>
      </c>
      <c r="D30" s="362" t="s">
        <v>204</v>
      </c>
      <c r="E30" s="362" t="s">
        <v>60</v>
      </c>
      <c r="F30" s="363" t="s">
        <v>61</v>
      </c>
    </row>
    <row r="31" spans="1:6" ht="13.5" thickBot="1" x14ac:dyDescent="0.25">
      <c r="A31" s="378" t="s">
        <v>32</v>
      </c>
      <c r="B31" s="379" t="s">
        <v>1</v>
      </c>
      <c r="C31" s="380">
        <v>27.27</v>
      </c>
      <c r="D31" s="381">
        <f>+F26</f>
        <v>0</v>
      </c>
      <c r="E31" s="381">
        <f>C31*D31/100</f>
        <v>0</v>
      </c>
      <c r="F31" s="332"/>
    </row>
    <row r="32" spans="1:6" ht="13.5" thickBot="1" x14ac:dyDescent="0.25">
      <c r="A32" s="331"/>
      <c r="B32" s="331"/>
      <c r="C32" s="331"/>
      <c r="D32" s="332"/>
      <c r="E32" s="332"/>
      <c r="F32" s="370">
        <f>+E31</f>
        <v>0</v>
      </c>
    </row>
    <row r="33" spans="1:6" ht="13.5" thickBot="1" x14ac:dyDescent="0.25">
      <c r="A33" s="331"/>
      <c r="B33" s="331"/>
      <c r="C33" s="331"/>
      <c r="D33" s="332"/>
      <c r="E33" s="332"/>
      <c r="F33" s="332"/>
    </row>
    <row r="34" spans="1:6" ht="13.5" thickBot="1" x14ac:dyDescent="0.25">
      <c r="A34" s="371" t="s">
        <v>209</v>
      </c>
      <c r="B34" s="374"/>
      <c r="C34" s="374"/>
      <c r="D34" s="375"/>
      <c r="E34" s="376"/>
      <c r="F34" s="377">
        <f>F32</f>
        <v>0</v>
      </c>
    </row>
    <row r="35" spans="1:6" x14ac:dyDescent="0.2">
      <c r="A35" s="357"/>
      <c r="B35" s="357"/>
      <c r="C35" s="357"/>
      <c r="D35" s="358"/>
      <c r="E35" s="358"/>
      <c r="F35" s="359"/>
    </row>
    <row r="36" spans="1:6" ht="13.5" thickBot="1" x14ac:dyDescent="0.25">
      <c r="A36" s="331"/>
      <c r="B36" s="331"/>
      <c r="C36" s="331"/>
      <c r="D36" s="332"/>
      <c r="E36" s="332"/>
      <c r="F36" s="332"/>
    </row>
    <row r="37" spans="1:6" x14ac:dyDescent="0.2">
      <c r="A37" s="382" t="s">
        <v>195</v>
      </c>
      <c r="B37" s="383"/>
      <c r="C37" s="383"/>
      <c r="D37" s="384"/>
      <c r="E37" s="385"/>
      <c r="F37" s="386">
        <f>F26+F34</f>
        <v>0</v>
      </c>
    </row>
    <row r="38" spans="1:6" ht="15.75" x14ac:dyDescent="0.2">
      <c r="A38" s="387" t="s">
        <v>304</v>
      </c>
      <c r="B38" s="388"/>
      <c r="C38" s="389"/>
      <c r="D38" s="390"/>
      <c r="E38" s="390">
        <f>F37/C20</f>
        <v>0</v>
      </c>
      <c r="F38" s="391"/>
    </row>
  </sheetData>
  <mergeCells count="3">
    <mergeCell ref="A6:F6"/>
    <mergeCell ref="A7:F7"/>
    <mergeCell ref="A9:F9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opLeftCell="A4" workbookViewId="0">
      <selection activeCell="K21" sqref="K21"/>
    </sheetView>
  </sheetViews>
  <sheetFormatPr defaultRowHeight="12.75" x14ac:dyDescent="0.2"/>
  <cols>
    <col min="1" max="1" width="34.85546875" customWidth="1"/>
  </cols>
  <sheetData>
    <row r="1" spans="1:6" ht="14.25" x14ac:dyDescent="0.2">
      <c r="A1" s="392" t="s">
        <v>177</v>
      </c>
      <c r="B1" s="393"/>
      <c r="C1" s="393"/>
      <c r="D1" s="394"/>
      <c r="E1" s="395"/>
      <c r="F1" s="394"/>
    </row>
    <row r="2" spans="1:6" ht="14.25" x14ac:dyDescent="0.2">
      <c r="A2" s="396" t="s">
        <v>217</v>
      </c>
      <c r="B2" s="393"/>
      <c r="C2" s="393"/>
      <c r="D2" s="394"/>
      <c r="E2" s="395"/>
      <c r="F2" s="394"/>
    </row>
    <row r="3" spans="1:6" ht="14.25" x14ac:dyDescent="0.2">
      <c r="A3" s="397" t="s">
        <v>178</v>
      </c>
      <c r="B3" s="393"/>
      <c r="C3" s="393"/>
      <c r="D3" s="394"/>
      <c r="E3" s="395"/>
      <c r="F3" s="394"/>
    </row>
    <row r="4" spans="1:6" ht="14.25" x14ac:dyDescent="0.2">
      <c r="A4" s="397"/>
      <c r="B4" s="393"/>
      <c r="C4" s="393"/>
      <c r="D4" s="394"/>
      <c r="E4" s="395"/>
      <c r="F4" s="394"/>
    </row>
    <row r="5" spans="1:6" ht="15.75" x14ac:dyDescent="0.2">
      <c r="A5" s="398" t="s">
        <v>256</v>
      </c>
      <c r="B5" s="399"/>
      <c r="C5" s="399"/>
      <c r="D5" s="399"/>
      <c r="E5" s="399"/>
      <c r="F5" s="399"/>
    </row>
    <row r="6" spans="1:6" ht="15.75" x14ac:dyDescent="0.2">
      <c r="A6" s="400" t="s">
        <v>305</v>
      </c>
      <c r="B6" s="401"/>
      <c r="C6" s="401"/>
      <c r="D6" s="336"/>
      <c r="E6" s="336"/>
      <c r="F6" s="336"/>
    </row>
    <row r="7" spans="1:6" ht="15.75" x14ac:dyDescent="0.2">
      <c r="A7" s="400" t="s">
        <v>306</v>
      </c>
      <c r="B7" s="401"/>
      <c r="C7" s="401"/>
      <c r="D7" s="336"/>
      <c r="E7" s="336"/>
      <c r="F7" s="336"/>
    </row>
    <row r="8" spans="1:6" ht="15" thickBot="1" x14ac:dyDescent="0.25">
      <c r="A8" s="394"/>
      <c r="B8" s="393"/>
      <c r="C8" s="393"/>
      <c r="D8" s="394"/>
      <c r="E8" s="395"/>
      <c r="F8" s="394"/>
    </row>
    <row r="9" spans="1:6" ht="15.75" x14ac:dyDescent="0.2">
      <c r="A9" s="508" t="s">
        <v>307</v>
      </c>
      <c r="B9" s="509"/>
      <c r="C9" s="509"/>
      <c r="D9" s="509"/>
      <c r="E9" s="509"/>
      <c r="F9" s="510"/>
    </row>
    <row r="10" spans="1:6" ht="16.5" thickBot="1" x14ac:dyDescent="0.25">
      <c r="A10" s="402"/>
      <c r="B10" s="403"/>
      <c r="C10" s="403"/>
      <c r="D10" s="403"/>
      <c r="E10" s="403"/>
      <c r="F10" s="404"/>
    </row>
    <row r="11" spans="1:6" ht="15" x14ac:dyDescent="0.25">
      <c r="A11" s="405"/>
      <c r="B11" s="406"/>
      <c r="C11" s="406"/>
      <c r="D11" s="511" t="s">
        <v>214</v>
      </c>
      <c r="E11" s="512"/>
      <c r="F11" s="513"/>
    </row>
    <row r="12" spans="1:6" ht="15" thickBot="1" x14ac:dyDescent="0.25">
      <c r="A12" s="407"/>
      <c r="B12" s="408"/>
      <c r="C12" s="408"/>
      <c r="D12" s="409" t="s">
        <v>165</v>
      </c>
      <c r="E12" s="410" t="s">
        <v>166</v>
      </c>
      <c r="F12" s="411" t="s">
        <v>167</v>
      </c>
    </row>
    <row r="13" spans="1:6" ht="14.25" x14ac:dyDescent="0.2">
      <c r="A13" s="412" t="s">
        <v>70</v>
      </c>
      <c r="B13" s="413" t="s">
        <v>71</v>
      </c>
      <c r="C13" s="414">
        <v>5.5E-2</v>
      </c>
      <c r="D13" s="415">
        <v>2.9700000000000001E-2</v>
      </c>
      <c r="E13" s="416">
        <v>5.0799999999999998E-2</v>
      </c>
      <c r="F13" s="417">
        <v>6.2700000000000006E-2</v>
      </c>
    </row>
    <row r="14" spans="1:6" ht="14.25" x14ac:dyDescent="0.2">
      <c r="A14" s="418" t="s">
        <v>72</v>
      </c>
      <c r="B14" s="419" t="s">
        <v>73</v>
      </c>
      <c r="C14" s="420">
        <v>2.5000000000000001E-3</v>
      </c>
      <c r="D14" s="415">
        <f>0.3%+0.56%</f>
        <v>8.6E-3</v>
      </c>
      <c r="E14" s="416">
        <f>0.48%+0.85%</f>
        <v>1.3299999999999999E-2</v>
      </c>
      <c r="F14" s="417">
        <f>0.82%+0.89%</f>
        <v>1.7099999999999997E-2</v>
      </c>
    </row>
    <row r="15" spans="1:6" ht="14.25" x14ac:dyDescent="0.2">
      <c r="A15" s="418" t="s">
        <v>74</v>
      </c>
      <c r="B15" s="419" t="s">
        <v>75</v>
      </c>
      <c r="C15" s="420">
        <v>7.0000000000000007E-2</v>
      </c>
      <c r="D15" s="415">
        <v>7.7799999999999994E-2</v>
      </c>
      <c r="E15" s="416">
        <v>0.1085</v>
      </c>
      <c r="F15" s="417">
        <v>0.13550000000000001</v>
      </c>
    </row>
    <row r="16" spans="1:6" ht="14.25" x14ac:dyDescent="0.2">
      <c r="A16" s="418" t="s">
        <v>76</v>
      </c>
      <c r="B16" s="419" t="s">
        <v>77</v>
      </c>
      <c r="C16" s="421">
        <v>0.05</v>
      </c>
      <c r="D16" s="415" t="s">
        <v>248</v>
      </c>
      <c r="E16" s="422"/>
      <c r="F16" s="423"/>
    </row>
    <row r="17" spans="1:6" ht="14.25" x14ac:dyDescent="0.2">
      <c r="A17" s="418" t="s">
        <v>78</v>
      </c>
      <c r="B17" s="514" t="s">
        <v>79</v>
      </c>
      <c r="C17" s="420">
        <v>0.03</v>
      </c>
      <c r="D17" s="424" t="s">
        <v>168</v>
      </c>
      <c r="E17" s="425"/>
      <c r="F17" s="426"/>
    </row>
    <row r="18" spans="1:6" ht="15" thickBot="1" x14ac:dyDescent="0.25">
      <c r="A18" s="427" t="s">
        <v>308</v>
      </c>
      <c r="B18" s="515"/>
      <c r="C18" s="428">
        <v>3.6499999999999998E-2</v>
      </c>
      <c r="D18" s="429"/>
      <c r="E18" s="430"/>
      <c r="F18" s="426"/>
    </row>
    <row r="19" spans="1:6" ht="14.25" x14ac:dyDescent="0.2">
      <c r="A19" s="431" t="s">
        <v>81</v>
      </c>
      <c r="B19" s="432"/>
      <c r="C19" s="433"/>
      <c r="D19" s="429"/>
      <c r="E19" s="430"/>
      <c r="F19" s="426"/>
    </row>
    <row r="20" spans="1:6" ht="15" thickBot="1" x14ac:dyDescent="0.25">
      <c r="A20" s="434" t="s">
        <v>82</v>
      </c>
      <c r="B20" s="435"/>
      <c r="C20" s="436"/>
      <c r="D20" s="429"/>
      <c r="E20" s="430"/>
      <c r="F20" s="426"/>
    </row>
    <row r="21" spans="1:6" ht="15.75" thickBot="1" x14ac:dyDescent="0.25">
      <c r="A21" s="437" t="s">
        <v>83</v>
      </c>
      <c r="B21" s="438"/>
      <c r="C21" s="439">
        <f>ROUND((((1+C13+C14)*(1+C15)*(1+C16))/(1-(C17+C18))-1),4)</f>
        <v>0.2727</v>
      </c>
      <c r="D21" s="440">
        <v>0.21429999999999999</v>
      </c>
      <c r="E21" s="441">
        <v>0.2717</v>
      </c>
      <c r="F21" s="442">
        <v>0.3362</v>
      </c>
    </row>
  </sheetData>
  <mergeCells count="3">
    <mergeCell ref="A9:F9"/>
    <mergeCell ref="D11:F11"/>
    <mergeCell ref="B17:B18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5</vt:i4>
      </vt:variant>
    </vt:vector>
  </HeadingPairs>
  <TitlesOfParts>
    <vt:vector size="14" baseType="lpstr">
      <vt:lpstr>1. Coleta Domiciliar</vt:lpstr>
      <vt:lpstr>2.Encargos Sociais</vt:lpstr>
      <vt:lpstr>3.CAGED</vt:lpstr>
      <vt:lpstr>4.BDI</vt:lpstr>
      <vt:lpstr>5. Depreciação</vt:lpstr>
      <vt:lpstr>6.Remuneração de capital</vt:lpstr>
      <vt:lpstr>7. Dimensionamento</vt:lpstr>
      <vt:lpstr>8. Destino Final</vt:lpstr>
      <vt:lpstr>9.BDI Aterro</vt:lpstr>
      <vt:lpstr>AbaDeprec</vt:lpstr>
      <vt:lpstr>AbaRemun</vt:lpstr>
      <vt:lpstr>'1. Coleta Domiciliar'!Area_de_impressao</vt:lpstr>
      <vt:lpstr>'2.Encargos Sociais'!Area_de_impressao</vt:lpstr>
      <vt:lpstr>'1. Coleta Domiciliar'!Titulos_de_impressao</vt:lpstr>
    </vt:vector>
  </TitlesOfParts>
  <Company>dmlu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Custos Coleta e Transporte RSU</dc:title>
  <dc:creator>Flavia Burmeister Martins</dc:creator>
  <cp:lastModifiedBy>Cliente</cp:lastModifiedBy>
  <cp:lastPrinted>2017-08-10T17:29:27Z</cp:lastPrinted>
  <dcterms:created xsi:type="dcterms:W3CDTF">2000-12-13T10:02:50Z</dcterms:created>
  <dcterms:modified xsi:type="dcterms:W3CDTF">2022-07-29T17:41:27Z</dcterms:modified>
</cp:coreProperties>
</file>